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2019" sheetId="1" r:id="rId4"/>
  </sheets>
</workbook>
</file>

<file path=xl/comments1.xml><?xml version="1.0" encoding="utf-8"?>
<comments xmlns="http://schemas.openxmlformats.org/spreadsheetml/2006/main">
  <authors>
    <author>Olivier Moulin</author>
  </authors>
  <commentList>
    <comment ref="O23" authorId="0">
      <text>
        <r>
          <rPr>
            <sz val="11"/>
            <color indexed="8"/>
            <rFont val="Helvetica Neue"/>
          </rPr>
          <t>Olivier Moulin:
Virement le 28/06/21 
3200 €
Facture solde 220701_061-ESK
800 € </t>
        </r>
      </text>
    </comment>
  </commentList>
</comments>
</file>

<file path=xl/sharedStrings.xml><?xml version="1.0" encoding="utf-8"?>
<sst xmlns="http://schemas.openxmlformats.org/spreadsheetml/2006/main" uniqueCount="155">
  <si>
    <t>CHARGES</t>
  </si>
  <si>
    <t>RECETTES</t>
  </si>
  <si>
    <t>ESKLINA 20-21-22</t>
  </si>
  <si>
    <t xml:space="preserve">PERSONNEL </t>
  </si>
  <si>
    <t>EXPLOITATION</t>
  </si>
  <si>
    <t>Artistique</t>
  </si>
  <si>
    <t>Technique</t>
  </si>
  <si>
    <t>Date</t>
  </si>
  <si>
    <t xml:space="preserve">Ville </t>
  </si>
  <si>
    <t xml:space="preserve"> </t>
  </si>
  <si>
    <t>Jauges</t>
  </si>
  <si>
    <t>Contrat</t>
  </si>
  <si>
    <t>Sal.bruts</t>
  </si>
  <si>
    <t>Cotisat°</t>
  </si>
  <si>
    <t>ManagementForet-Bruno</t>
  </si>
  <si>
    <t xml:space="preserve"> Frais de route</t>
  </si>
  <si>
    <t>Frais divers</t>
  </si>
  <si>
    <t xml:space="preserve"> Cession</t>
  </si>
  <si>
    <t>Sub ADAMI</t>
  </si>
  <si>
    <t>Sub CNM</t>
  </si>
  <si>
    <t>Sub SPEDIDAM</t>
  </si>
  <si>
    <t>Sub DIVERS</t>
  </si>
  <si>
    <r>
      <rPr>
        <b val="1"/>
        <sz val="15"/>
        <color indexed="8"/>
        <rFont val="Verdana"/>
      </rPr>
      <t>2020</t>
    </r>
  </si>
  <si>
    <t>02 au 04/09/20</t>
  </si>
  <si>
    <t xml:space="preserve">Beynes </t>
  </si>
  <si>
    <t>Barbacane</t>
  </si>
  <si>
    <t>0</t>
  </si>
  <si>
    <t>RESIDENCE 1</t>
  </si>
  <si>
    <t>21 au 24/09/20</t>
  </si>
  <si>
    <t xml:space="preserve">Fresnes </t>
  </si>
  <si>
    <t>Grange Dimière</t>
  </si>
  <si>
    <t>RESIDENCE 2</t>
  </si>
  <si>
    <t>29 au 30/09/20</t>
  </si>
  <si>
    <t>Lignières</t>
  </si>
  <si>
    <t>Les Bains Douches</t>
  </si>
  <si>
    <t>RESIDENCE 3</t>
  </si>
  <si>
    <t>01 au 02/10/20</t>
  </si>
  <si>
    <t>09/10/20</t>
  </si>
  <si>
    <t>Garancieres</t>
  </si>
  <si>
    <t>Salle des Fêtes</t>
  </si>
  <si>
    <t>120</t>
  </si>
  <si>
    <t>CONCERT</t>
  </si>
  <si>
    <t>10/10/20</t>
  </si>
  <si>
    <t>Mantes</t>
  </si>
  <si>
    <t>Espace Brassens</t>
  </si>
  <si>
    <t>235</t>
  </si>
  <si>
    <t>13/10/20</t>
  </si>
  <si>
    <t>Paris</t>
  </si>
  <si>
    <t>Dame de Canton</t>
  </si>
  <si>
    <t>140</t>
  </si>
  <si>
    <t>15/10/20</t>
  </si>
  <si>
    <t>Vincennes</t>
  </si>
  <si>
    <t xml:space="preserve"> C.C Pompidou</t>
  </si>
  <si>
    <t>512</t>
  </si>
  <si>
    <t>16/10/20</t>
  </si>
  <si>
    <t>Montargis</t>
  </si>
  <si>
    <t>Le Hangar</t>
  </si>
  <si>
    <t>270</t>
  </si>
  <si>
    <t>17/10/20</t>
  </si>
  <si>
    <t>Le hangar</t>
  </si>
  <si>
    <r>
      <rPr>
        <b val="1"/>
        <sz val="12"/>
        <color indexed="15"/>
        <rFont val="Verdana"/>
      </rPr>
      <t>TOTAL  2020</t>
    </r>
    <r>
      <rPr>
        <sz val="12"/>
        <color indexed="15"/>
        <rFont val="Verdana"/>
      </rPr>
      <t xml:space="preserve"> </t>
    </r>
  </si>
  <si>
    <r>
      <rPr>
        <b val="1"/>
        <sz val="15"/>
        <color indexed="8"/>
        <rFont val="Verdana"/>
      </rPr>
      <t>2021</t>
    </r>
  </si>
  <si>
    <t xml:space="preserve">  </t>
  </si>
  <si>
    <t>Fontaine</t>
  </si>
  <si>
    <t>La Source</t>
  </si>
  <si>
    <t>REPETITIONS</t>
  </si>
  <si>
    <t>06/05/21</t>
  </si>
  <si>
    <t xml:space="preserve">Fontaine </t>
  </si>
  <si>
    <t>LIVE STREAMNIG</t>
  </si>
  <si>
    <t>16/07/21</t>
  </si>
  <si>
    <t>Emancé</t>
  </si>
  <si>
    <t>Chez l’habitant</t>
  </si>
  <si>
    <t>50</t>
  </si>
  <si>
    <t>26/07/21</t>
  </si>
  <si>
    <t>Bourrou</t>
  </si>
  <si>
    <t>27/07/21</t>
  </si>
  <si>
    <t>Cafe Lib</t>
  </si>
  <si>
    <t>70</t>
  </si>
  <si>
    <t>29/07/21</t>
  </si>
  <si>
    <t>Bordeaux</t>
  </si>
  <si>
    <t>Bordeaux Chanson</t>
  </si>
  <si>
    <t>40</t>
  </si>
  <si>
    <t>30/07/21</t>
  </si>
  <si>
    <t>Bergerac</t>
  </si>
  <si>
    <t xml:space="preserve">Chez l’habitant </t>
  </si>
  <si>
    <t>35</t>
  </si>
  <si>
    <t>31/07/21</t>
  </si>
  <si>
    <t xml:space="preserve">Salbris  </t>
  </si>
  <si>
    <t>Copains d’abord</t>
  </si>
  <si>
    <t>80</t>
  </si>
  <si>
    <t>06/08/21</t>
  </si>
  <si>
    <t>Sauxemesnil</t>
  </si>
  <si>
    <t xml:space="preserve">Fest. Réveillez les chouettes </t>
  </si>
  <si>
    <t>1000</t>
  </si>
  <si>
    <t>07/08/21</t>
  </si>
  <si>
    <t>Archigny</t>
  </si>
  <si>
    <t>Base de Loisirs</t>
  </si>
  <si>
    <t>300</t>
  </si>
  <si>
    <t>21 au 22/08/21</t>
  </si>
  <si>
    <t>Suede</t>
  </si>
  <si>
    <t xml:space="preserve">Streaming  </t>
  </si>
  <si>
    <t>27/08/21</t>
  </si>
  <si>
    <t>Archambault</t>
  </si>
  <si>
    <t>La loge</t>
  </si>
  <si>
    <t>28/08/21</t>
  </si>
  <si>
    <t>Chatellerault</t>
  </si>
  <si>
    <t>Guinguette</t>
  </si>
  <si>
    <t>15 au 16/09/21</t>
  </si>
  <si>
    <t>Ivry</t>
  </si>
  <si>
    <t xml:space="preserve">Forum Leo Ferré  </t>
  </si>
  <si>
    <t>RESIDENCE</t>
  </si>
  <si>
    <t>13/10/21</t>
  </si>
  <si>
    <t>Rouillac</t>
  </si>
  <si>
    <t>La Palene</t>
  </si>
  <si>
    <t>320</t>
  </si>
  <si>
    <t>22/10/21</t>
  </si>
  <si>
    <t>PREPA TECHNIQUE</t>
  </si>
  <si>
    <t>23/10/21</t>
  </si>
  <si>
    <t>La Roche Posay</t>
  </si>
  <si>
    <t>Acropolya</t>
  </si>
  <si>
    <t>350</t>
  </si>
  <si>
    <t>27/11/21</t>
  </si>
  <si>
    <t>Thionville</t>
  </si>
  <si>
    <t>Adagio</t>
  </si>
  <si>
    <t>150</t>
  </si>
  <si>
    <t>28/11/21</t>
  </si>
  <si>
    <t>Freidrichsthal</t>
  </si>
  <si>
    <t>Rechsschutzsaal</t>
  </si>
  <si>
    <t>13/12/21</t>
  </si>
  <si>
    <t>Rots</t>
  </si>
  <si>
    <t>Centre d’animations</t>
  </si>
  <si>
    <t>TOTAL 2021</t>
  </si>
  <si>
    <t>Fresnes</t>
  </si>
  <si>
    <t>Grange dimière</t>
  </si>
  <si>
    <t>173</t>
  </si>
  <si>
    <t>19/05/22</t>
  </si>
  <si>
    <t>Montreuil</t>
  </si>
  <si>
    <t>LDC</t>
  </si>
  <si>
    <t>Tournage video Promo</t>
  </si>
  <si>
    <t>11/06/22</t>
  </si>
  <si>
    <t>Bonneville</t>
  </si>
  <si>
    <t>Esp.Côté Jardin</t>
  </si>
  <si>
    <t>90</t>
  </si>
  <si>
    <t>16/06/22</t>
  </si>
  <si>
    <t>Mereville</t>
  </si>
  <si>
    <t>17/06/22</t>
  </si>
  <si>
    <t>Le silo</t>
  </si>
  <si>
    <t>01/07/22</t>
  </si>
  <si>
    <t>09/09/22</t>
  </si>
  <si>
    <t>REPETITION</t>
  </si>
  <si>
    <t>10/09/22</t>
  </si>
  <si>
    <t>Egriselle</t>
  </si>
  <si>
    <t>Auberge</t>
  </si>
  <si>
    <t>TOTAL 2022</t>
  </si>
  <si>
    <t>TOTAL 2020 / 2021 / 2022</t>
  </si>
</sst>
</file>

<file path=xl/styles.xml><?xml version="1.0" encoding="utf-8"?>
<styleSheet xmlns="http://schemas.openxmlformats.org/spreadsheetml/2006/main">
  <numFmts count="3">
    <numFmt numFmtId="0" formatCode="General"/>
    <numFmt numFmtId="59" formatCode="dd/mm/yy"/>
    <numFmt numFmtId="60" formatCode="d mmm yyyy hh:mm"/>
  </numFmts>
  <fonts count="22">
    <font>
      <sz val="10"/>
      <color indexed="8"/>
      <name val="Helvetica Neue"/>
    </font>
    <font>
      <sz val="12"/>
      <color indexed="8"/>
      <name val="Helvetica Neue"/>
    </font>
    <font>
      <sz val="13"/>
      <color indexed="8"/>
      <name val="Helvetica Neue"/>
    </font>
    <font>
      <sz val="23"/>
      <color indexed="8"/>
      <name val="Verdana"/>
    </font>
    <font>
      <b val="1"/>
      <sz val="10"/>
      <color indexed="8"/>
      <name val="Verdana"/>
    </font>
    <font>
      <sz val="16"/>
      <color indexed="8"/>
      <name val="Verdana"/>
    </font>
    <font>
      <sz val="12"/>
      <color indexed="8"/>
      <name val="Verdana"/>
    </font>
    <font>
      <sz val="10"/>
      <color indexed="8"/>
      <name val="Verdana"/>
    </font>
    <font>
      <b val="1"/>
      <sz val="15"/>
      <color indexed="8"/>
      <name val="Verdana"/>
    </font>
    <font>
      <b val="1"/>
      <sz val="12"/>
      <color indexed="8"/>
      <name val="Verdana"/>
    </font>
    <font>
      <sz val="10"/>
      <color indexed="15"/>
      <name val="Verdana"/>
    </font>
    <font>
      <b val="1"/>
      <sz val="10"/>
      <color indexed="15"/>
      <name val="Verdana"/>
    </font>
    <font>
      <sz val="12"/>
      <color indexed="15"/>
      <name val="Verdana"/>
    </font>
    <font>
      <b val="1"/>
      <sz val="12"/>
      <color indexed="15"/>
      <name val="Verdana"/>
    </font>
    <font>
      <sz val="11"/>
      <color indexed="8"/>
      <name val="Helvetica Neue"/>
    </font>
    <font>
      <b val="1"/>
      <sz val="10"/>
      <color indexed="18"/>
      <name val="Verdana"/>
    </font>
    <font>
      <b val="1"/>
      <sz val="12"/>
      <color indexed="18"/>
      <name val="Verdana"/>
    </font>
    <font>
      <sz val="10"/>
      <color indexed="18"/>
      <name val="Verdana"/>
    </font>
    <font>
      <b val="1"/>
      <sz val="16"/>
      <color indexed="8"/>
      <name val="Helvetica Neue"/>
    </font>
    <font>
      <b val="1"/>
      <sz val="20"/>
      <color indexed="8"/>
      <name val="Verdana"/>
    </font>
    <font>
      <sz val="14"/>
      <color indexed="8"/>
      <name val="Verdana"/>
    </font>
    <font>
      <b val="1"/>
      <sz val="14"/>
      <color indexed="8"/>
      <name val="Verdana"/>
    </font>
  </fonts>
  <fills count="10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9"/>
        <bgColor auto="1"/>
      </patternFill>
    </fill>
  </fills>
  <borders count="5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ck">
        <color indexed="8"/>
      </right>
      <top style="medium">
        <color indexed="8"/>
      </top>
      <bottom style="thin">
        <color indexed="10"/>
      </bottom>
      <diagonal/>
    </border>
    <border>
      <left style="thick">
        <color indexed="8"/>
      </left>
      <right style="thin">
        <color indexed="10"/>
      </right>
      <top style="thick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ck">
        <color indexed="8"/>
      </bottom>
      <diagonal/>
    </border>
    <border>
      <left style="thin">
        <color indexed="10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ck">
        <color indexed="8"/>
      </right>
      <top style="thin">
        <color indexed="10"/>
      </top>
      <bottom style="thin">
        <color indexed="10"/>
      </bottom>
      <diagonal/>
    </border>
    <border>
      <left style="thick">
        <color indexed="8"/>
      </left>
      <right style="thin">
        <color indexed="10"/>
      </right>
      <top style="thick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thick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ck">
        <color indexed="8"/>
      </right>
      <top style="thin">
        <color indexed="10"/>
      </top>
      <bottom style="medium">
        <color indexed="8"/>
      </bottom>
      <diagonal/>
    </border>
    <border>
      <left style="thick">
        <color indexed="8"/>
      </left>
      <right style="thin">
        <color indexed="10"/>
      </right>
      <top style="thick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medium">
        <color indexed="8"/>
      </bottom>
      <diagonal/>
    </border>
    <border>
      <left style="thin">
        <color indexed="10"/>
      </left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10"/>
      </right>
      <top style="thick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ck">
        <color indexed="8"/>
      </top>
      <bottom style="thin">
        <color indexed="8"/>
      </bottom>
      <diagonal/>
    </border>
    <border>
      <left style="thin">
        <color indexed="10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10"/>
      </right>
      <top style="thin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ck">
        <color indexed="8"/>
      </bottom>
      <diagonal/>
    </border>
    <border>
      <left style="thin">
        <color indexed="10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03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fillId="2" borderId="1" applyNumberFormat="0" applyFont="1" applyFill="1" applyBorder="1" applyAlignment="1" applyProtection="0">
      <alignment vertical="bottom"/>
    </xf>
    <xf numFmtId="0" fontId="0" fillId="2" borderId="2" applyNumberFormat="0" applyFont="1" applyFill="1" applyBorder="1" applyAlignment="1" applyProtection="0">
      <alignment vertical="bottom"/>
    </xf>
    <xf numFmtId="0" fontId="0" fillId="2" borderId="3" applyNumberFormat="0" applyFont="1" applyFill="1" applyBorder="1" applyAlignment="1" applyProtection="0">
      <alignment vertical="bottom"/>
    </xf>
    <xf numFmtId="49" fontId="3" fillId="3" borderId="4" applyNumberFormat="1" applyFont="1" applyFill="1" applyBorder="1" applyAlignment="1" applyProtection="0">
      <alignment horizontal="center" vertical="bottom"/>
    </xf>
    <xf numFmtId="0" fontId="0" fillId="4" borderId="5" applyNumberFormat="0" applyFont="1" applyFill="1" applyBorder="1" applyAlignment="1" applyProtection="0">
      <alignment vertical="bottom"/>
    </xf>
    <xf numFmtId="0" fontId="0" fillId="4" borderId="6" applyNumberFormat="0" applyFont="1" applyFill="1" applyBorder="1" applyAlignment="1" applyProtection="0">
      <alignment vertical="bottom"/>
    </xf>
    <xf numFmtId="49" fontId="4" fillId="5" borderId="7" applyNumberFormat="1" applyFont="1" applyFill="1" applyBorder="1" applyAlignment="1" applyProtection="0">
      <alignment vertical="bottom"/>
    </xf>
    <xf numFmtId="0" fontId="4" fillId="2" borderId="8" applyNumberFormat="0" applyFont="1" applyFill="1" applyBorder="1" applyAlignment="1" applyProtection="0">
      <alignment vertical="bottom"/>
    </xf>
    <xf numFmtId="0" fontId="0" fillId="2" borderId="9" applyNumberFormat="0" applyFont="1" applyFill="1" applyBorder="1" applyAlignment="1" applyProtection="0">
      <alignment vertical="bottom"/>
    </xf>
    <xf numFmtId="0" fontId="0" fillId="2" borderId="10" applyNumberFormat="0" applyFont="1" applyFill="1" applyBorder="1" applyAlignment="1" applyProtection="0">
      <alignment vertical="bottom"/>
    </xf>
    <xf numFmtId="49" fontId="5" fillId="2" borderId="4" applyNumberFormat="1" applyFont="1" applyFill="1" applyBorder="1" applyAlignment="1" applyProtection="0">
      <alignment horizontal="center" vertical="center"/>
    </xf>
    <xf numFmtId="49" fontId="5" fillId="2" borderId="4" applyNumberFormat="1" applyFont="1" applyFill="1" applyBorder="1" applyAlignment="1" applyProtection="0">
      <alignment horizontal="center" vertical="bottom"/>
    </xf>
    <xf numFmtId="0" fontId="0" fillId="2" borderId="11" applyNumberFormat="0" applyFont="1" applyFill="1" applyBorder="1" applyAlignment="1" applyProtection="0">
      <alignment vertical="bottom"/>
    </xf>
    <xf numFmtId="0" fontId="0" fillId="4" borderId="12" applyNumberFormat="0" applyFont="1" applyFill="1" applyBorder="1" applyAlignment="1" applyProtection="0">
      <alignment vertical="bottom"/>
    </xf>
    <xf numFmtId="0" fontId="0" fillId="4" borderId="13" applyNumberFormat="0" applyFont="1" applyFill="1" applyBorder="1" applyAlignment="1" applyProtection="0">
      <alignment vertical="bottom"/>
    </xf>
    <xf numFmtId="0" fontId="6" fillId="2" borderId="1" applyNumberFormat="0" applyFont="1" applyFill="1" applyBorder="1" applyAlignment="1" applyProtection="0">
      <alignment vertical="bottom"/>
    </xf>
    <xf numFmtId="0" fontId="6" fillId="2" borderId="14" applyNumberFormat="0" applyFont="1" applyFill="1" applyBorder="1" applyAlignment="1" applyProtection="0">
      <alignment vertical="bottom"/>
    </xf>
    <xf numFmtId="0" fontId="6" fillId="2" borderId="15" applyNumberFormat="0" applyFont="1" applyFill="1" applyBorder="1" applyAlignment="1" applyProtection="0">
      <alignment vertical="bottom"/>
    </xf>
    <xf numFmtId="49" fontId="6" fillId="2" borderId="16" applyNumberFormat="1" applyFont="1" applyFill="1" applyBorder="1" applyAlignment="1" applyProtection="0">
      <alignment horizontal="center" vertical="center"/>
    </xf>
    <xf numFmtId="0" fontId="0" fillId="4" borderId="17" applyNumberFormat="0" applyFont="1" applyFill="1" applyBorder="1" applyAlignment="1" applyProtection="0">
      <alignment vertical="bottom"/>
    </xf>
    <xf numFmtId="49" fontId="6" fillId="2" borderId="17" applyNumberFormat="1" applyFont="1" applyFill="1" applyBorder="1" applyAlignment="1" applyProtection="0">
      <alignment horizontal="center" vertical="center"/>
    </xf>
    <xf numFmtId="0" fontId="0" fillId="4" borderId="18" applyNumberFormat="0" applyFont="1" applyFill="1" applyBorder="1" applyAlignment="1" applyProtection="0">
      <alignment vertical="bottom"/>
    </xf>
    <xf numFmtId="1" fontId="6" fillId="2" borderId="16" applyNumberFormat="1" applyFont="1" applyFill="1" applyBorder="1" applyAlignment="1" applyProtection="0">
      <alignment vertical="bottom"/>
    </xf>
    <xf numFmtId="1" fontId="6" fillId="2" borderId="17" applyNumberFormat="1" applyFont="1" applyFill="1" applyBorder="1" applyAlignment="1" applyProtection="0">
      <alignment vertical="bottom"/>
    </xf>
    <xf numFmtId="1" fontId="6" fillId="2" borderId="18" applyNumberFormat="1" applyFont="1" applyFill="1" applyBorder="1" applyAlignment="1" applyProtection="0">
      <alignment vertical="bottom"/>
    </xf>
    <xf numFmtId="0" fontId="0" fillId="4" borderId="19" applyNumberFormat="0" applyFont="1" applyFill="1" applyBorder="1" applyAlignment="1" applyProtection="0">
      <alignment vertical="bottom"/>
    </xf>
    <xf numFmtId="0" fontId="0" fillId="4" borderId="14" applyNumberFormat="0" applyFont="1" applyFill="1" applyBorder="1" applyAlignment="1" applyProtection="0">
      <alignment vertical="bottom"/>
    </xf>
    <xf numFmtId="0" fontId="0" fillId="4" borderId="20" applyNumberFormat="0" applyFont="1" applyFill="1" applyBorder="1" applyAlignment="1" applyProtection="0">
      <alignment vertical="bottom"/>
    </xf>
    <xf numFmtId="49" fontId="6" fillId="2" borderId="21" applyNumberFormat="1" applyFont="1" applyFill="1" applyBorder="1" applyAlignment="1" applyProtection="0">
      <alignment vertical="top" wrapText="1"/>
    </xf>
    <xf numFmtId="49" fontId="6" fillId="2" borderId="22" applyNumberFormat="1" applyFont="1" applyFill="1" applyBorder="1" applyAlignment="1" applyProtection="0">
      <alignment vertical="top" wrapText="1"/>
    </xf>
    <xf numFmtId="49" fontId="6" fillId="2" borderId="22" applyNumberFormat="1" applyFont="1" applyFill="1" applyBorder="1" applyAlignment="1" applyProtection="0">
      <alignment horizontal="center" vertical="top" wrapText="1"/>
    </xf>
    <xf numFmtId="49" fontId="6" fillId="2" borderId="23" applyNumberFormat="1" applyFont="1" applyFill="1" applyBorder="1" applyAlignment="1" applyProtection="0">
      <alignment horizontal="center" vertical="top" wrapText="1"/>
    </xf>
    <xf numFmtId="49" fontId="6" fillId="2" borderId="7" applyNumberFormat="1" applyFont="1" applyFill="1" applyBorder="1" applyAlignment="1" applyProtection="0">
      <alignment horizontal="center" vertical="top" wrapText="1"/>
    </xf>
    <xf numFmtId="49" fontId="6" fillId="2" borderId="24" applyNumberFormat="1" applyFont="1" applyFill="1" applyBorder="1" applyAlignment="1" applyProtection="0">
      <alignment horizontal="center" vertical="top" wrapText="1"/>
    </xf>
    <xf numFmtId="49" fontId="6" fillId="2" borderId="25" applyNumberFormat="1" applyFont="1" applyFill="1" applyBorder="1" applyAlignment="1" applyProtection="0">
      <alignment horizontal="center" vertical="top" wrapText="1"/>
    </xf>
    <xf numFmtId="49" fontId="6" fillId="2" borderId="21" applyNumberFormat="1" applyFont="1" applyFill="1" applyBorder="1" applyAlignment="1" applyProtection="0">
      <alignment horizontal="center" vertical="top" wrapText="1"/>
    </xf>
    <xf numFmtId="49" fontId="6" fillId="2" borderId="26" applyNumberFormat="1" applyFont="1" applyFill="1" applyBorder="1" applyAlignment="1" applyProtection="0">
      <alignment horizontal="center" vertical="top" wrapText="1"/>
    </xf>
    <xf numFmtId="49" fontId="6" fillId="2" borderId="27" applyNumberFormat="1" applyFont="1" applyFill="1" applyBorder="1" applyAlignment="1" applyProtection="0">
      <alignment horizontal="center" vertical="top" wrapText="1"/>
    </xf>
    <xf numFmtId="49" fontId="7" fillId="6" borderId="28" applyNumberFormat="1" applyFont="1" applyFill="1" applyBorder="1" applyAlignment="1" applyProtection="0">
      <alignment horizontal="left" vertical="bottom"/>
    </xf>
    <xf numFmtId="0" fontId="0" fillId="4" borderId="29" applyNumberFormat="0" applyFont="1" applyFill="1" applyBorder="1" applyAlignment="1" applyProtection="0">
      <alignment vertical="bottom"/>
    </xf>
    <xf numFmtId="0" fontId="0" fillId="4" borderId="30" applyNumberFormat="0" applyFont="1" applyFill="1" applyBorder="1" applyAlignment="1" applyProtection="0">
      <alignment vertical="bottom"/>
    </xf>
    <xf numFmtId="49" fontId="0" fillId="6" borderId="31" applyNumberFormat="1" applyFont="1" applyFill="1" applyBorder="1" applyAlignment="1" applyProtection="0">
      <alignment vertical="bottom"/>
    </xf>
    <xf numFmtId="49" fontId="0" fillId="6" borderId="32" applyNumberFormat="1" applyFont="1" applyFill="1" applyBorder="1" applyAlignment="1" applyProtection="0">
      <alignment vertical="bottom"/>
    </xf>
    <xf numFmtId="49" fontId="0" fillId="6" borderId="33" applyNumberFormat="1" applyFont="1" applyFill="1" applyBorder="1" applyAlignment="1" applyProtection="0">
      <alignment vertical="bottom"/>
    </xf>
    <xf numFmtId="2" fontId="7" fillId="6" borderId="33" applyNumberFormat="1" applyFont="1" applyFill="1" applyBorder="1" applyAlignment="1" applyProtection="0">
      <alignment horizontal="center" vertical="bottom"/>
    </xf>
    <xf numFmtId="49" fontId="7" fillId="6" borderId="32" applyNumberFormat="1" applyFont="1" applyFill="1" applyBorder="1" applyAlignment="1" applyProtection="0">
      <alignment horizontal="center" vertical="bottom"/>
    </xf>
    <xf numFmtId="2" fontId="9" fillId="6" borderId="32" applyNumberFormat="1" applyFont="1" applyFill="1" applyBorder="1" applyAlignment="1" applyProtection="0">
      <alignment horizontal="right" vertical="bottom"/>
    </xf>
    <xf numFmtId="2" fontId="9" fillId="6" borderId="34" applyNumberFormat="1" applyFont="1" applyFill="1" applyBorder="1" applyAlignment="1" applyProtection="0">
      <alignment horizontal="right" vertical="bottom"/>
    </xf>
    <xf numFmtId="49" fontId="4" fillId="5" borderId="35" applyNumberFormat="1" applyFont="1" applyFill="1" applyBorder="1" applyAlignment="1" applyProtection="0">
      <alignment horizontal="right" vertical="bottom"/>
    </xf>
    <xf numFmtId="49" fontId="4" fillId="5" borderId="35" applyNumberFormat="1" applyFont="1" applyFill="1" applyBorder="1" applyAlignment="1" applyProtection="0">
      <alignment horizontal="left" vertical="bottom"/>
    </xf>
    <xf numFmtId="49" fontId="4" fillId="5" borderId="35" applyNumberFormat="1" applyFont="1" applyFill="1" applyBorder="1" applyAlignment="1" applyProtection="0">
      <alignment horizontal="center" vertical="bottom"/>
    </xf>
    <xf numFmtId="49" fontId="4" fillId="5" borderId="36" applyNumberFormat="1" applyFont="1" applyFill="1" applyBorder="1" applyAlignment="1" applyProtection="0">
      <alignment horizontal="center" vertical="bottom"/>
    </xf>
    <xf numFmtId="2" fontId="4" fillId="5" borderId="37" applyNumberFormat="1" applyFont="1" applyFill="1" applyBorder="1" applyAlignment="1" applyProtection="0">
      <alignment vertical="bottom"/>
    </xf>
    <xf numFmtId="2" fontId="4" fillId="5" borderId="35" applyNumberFormat="1" applyFont="1" applyFill="1" applyBorder="1" applyAlignment="1" applyProtection="0">
      <alignment vertical="bottom"/>
    </xf>
    <xf numFmtId="2" fontId="4" fillId="5" borderId="36" applyNumberFormat="1" applyFont="1" applyFill="1" applyBorder="1" applyAlignment="1" applyProtection="0">
      <alignment vertical="bottom"/>
    </xf>
    <xf numFmtId="2" fontId="4" fillId="5" borderId="36" applyNumberFormat="1" applyFont="1" applyFill="1" applyBorder="1" applyAlignment="1" applyProtection="0">
      <alignment horizontal="center" vertical="bottom"/>
    </xf>
    <xf numFmtId="2" fontId="4" fillId="5" borderId="35" applyNumberFormat="1" applyFont="1" applyFill="1" applyBorder="1" applyAlignment="1" applyProtection="0">
      <alignment horizontal="center" vertical="bottom"/>
    </xf>
    <xf numFmtId="2" fontId="4" fillId="5" borderId="38" applyNumberFormat="1" applyFont="1" applyFill="1" applyBorder="1" applyAlignment="1" applyProtection="0">
      <alignment vertical="bottom"/>
    </xf>
    <xf numFmtId="49" fontId="4" fillId="5" borderId="35" applyNumberFormat="1" applyFont="1" applyFill="1" applyBorder="1" applyAlignment="1" applyProtection="0">
      <alignment vertical="bottom"/>
    </xf>
    <xf numFmtId="2" fontId="7" fillId="5" borderId="37" applyNumberFormat="1" applyFont="1" applyFill="1" applyBorder="1" applyAlignment="1" applyProtection="0">
      <alignment vertical="bottom"/>
    </xf>
    <xf numFmtId="2" fontId="7" fillId="5" borderId="35" applyNumberFormat="1" applyFont="1" applyFill="1" applyBorder="1" applyAlignment="1" applyProtection="0">
      <alignment vertical="bottom"/>
    </xf>
    <xf numFmtId="2" fontId="7" fillId="5" borderId="36" applyNumberFormat="1" applyFont="1" applyFill="1" applyBorder="1" applyAlignment="1" applyProtection="0">
      <alignment horizontal="center" vertical="bottom"/>
    </xf>
    <xf numFmtId="2" fontId="7" fillId="5" borderId="35" applyNumberFormat="1" applyFont="1" applyFill="1" applyBorder="1" applyAlignment="1" applyProtection="0">
      <alignment horizontal="center" vertical="bottom"/>
    </xf>
    <xf numFmtId="2" fontId="7" fillId="5" borderId="38" applyNumberFormat="1" applyFont="1" applyFill="1" applyBorder="1" applyAlignment="1" applyProtection="0">
      <alignment vertical="bottom"/>
    </xf>
    <xf numFmtId="0" fontId="10" fillId="5" borderId="35" applyNumberFormat="0" applyFont="1" applyFill="1" applyBorder="1" applyAlignment="1" applyProtection="0">
      <alignment horizontal="right" vertical="bottom"/>
    </xf>
    <xf numFmtId="0" fontId="0" fillId="4" borderId="35" applyNumberFormat="0" applyFont="1" applyFill="1" applyBorder="1" applyAlignment="1" applyProtection="0">
      <alignment vertical="bottom"/>
    </xf>
    <xf numFmtId="0" fontId="0" fillId="4" borderId="36" applyNumberFormat="0" applyFont="1" applyFill="1" applyBorder="1" applyAlignment="1" applyProtection="0">
      <alignment vertical="bottom"/>
    </xf>
    <xf numFmtId="2" fontId="11" fillId="5" borderId="37" applyNumberFormat="1" applyFont="1" applyFill="1" applyBorder="1" applyAlignment="1" applyProtection="0">
      <alignment vertical="bottom"/>
    </xf>
    <xf numFmtId="2" fontId="11" fillId="5" borderId="35" applyNumberFormat="1" applyFont="1" applyFill="1" applyBorder="1" applyAlignment="1" applyProtection="0">
      <alignment vertical="bottom"/>
    </xf>
    <xf numFmtId="2" fontId="11" fillId="5" borderId="36" applyNumberFormat="1" applyFont="1" applyFill="1" applyBorder="1" applyAlignment="1" applyProtection="0">
      <alignment vertical="bottom"/>
    </xf>
    <xf numFmtId="2" fontId="10" fillId="5" borderId="35" applyNumberFormat="1" applyFont="1" applyFill="1" applyBorder="1" applyAlignment="1" applyProtection="0">
      <alignment vertical="bottom"/>
    </xf>
    <xf numFmtId="2" fontId="10" fillId="5" borderId="36" applyNumberFormat="1" applyFont="1" applyFill="1" applyBorder="1" applyAlignment="1" applyProtection="0">
      <alignment horizontal="center" vertical="bottom"/>
    </xf>
    <xf numFmtId="2" fontId="10" fillId="5" borderId="37" applyNumberFormat="1" applyFont="1" applyFill="1" applyBorder="1" applyAlignment="1" applyProtection="0">
      <alignment vertical="bottom"/>
    </xf>
    <xf numFmtId="2" fontId="10" fillId="5" borderId="35" applyNumberFormat="1" applyFont="1" applyFill="1" applyBorder="1" applyAlignment="1" applyProtection="0">
      <alignment horizontal="center" vertical="bottom"/>
    </xf>
    <xf numFmtId="49" fontId="4" fillId="5" borderId="38" applyNumberFormat="1" applyFont="1" applyFill="1" applyBorder="1" applyAlignment="1" applyProtection="0">
      <alignment vertical="bottom"/>
    </xf>
    <xf numFmtId="49" fontId="12" fillId="7" borderId="35" applyNumberFormat="1" applyFont="1" applyFill="1" applyBorder="1" applyAlignment="1" applyProtection="0">
      <alignment horizontal="right" vertical="bottom"/>
    </xf>
    <xf numFmtId="2" fontId="13" fillId="7" borderId="37" applyNumberFormat="1" applyFont="1" applyFill="1" applyBorder="1" applyAlignment="1" applyProtection="0">
      <alignment vertical="bottom"/>
    </xf>
    <xf numFmtId="2" fontId="13" fillId="7" borderId="35" applyNumberFormat="1" applyFont="1" applyFill="1" applyBorder="1" applyAlignment="1" applyProtection="0">
      <alignment vertical="bottom"/>
    </xf>
    <xf numFmtId="2" fontId="13" fillId="7" borderId="36" applyNumberFormat="1" applyFont="1" applyFill="1" applyBorder="1" applyAlignment="1" applyProtection="0">
      <alignment vertical="bottom"/>
    </xf>
    <xf numFmtId="2" fontId="13" fillId="7" borderId="38" applyNumberFormat="1" applyFont="1" applyFill="1" applyBorder="1" applyAlignment="1" applyProtection="0">
      <alignment vertical="bottom"/>
    </xf>
    <xf numFmtId="49" fontId="7" fillId="5" borderId="35" applyNumberFormat="1" applyFont="1" applyFill="1" applyBorder="1" applyAlignment="1" applyProtection="0">
      <alignment horizontal="right" vertical="bottom"/>
    </xf>
    <xf numFmtId="49" fontId="7" fillId="5" borderId="35" applyNumberFormat="1" applyFont="1" applyFill="1" applyBorder="1" applyAlignment="1" applyProtection="0">
      <alignment horizontal="left" vertical="bottom"/>
    </xf>
    <xf numFmtId="49" fontId="7" fillId="5" borderId="35" applyNumberFormat="1" applyFont="1" applyFill="1" applyBorder="1" applyAlignment="1" applyProtection="0">
      <alignment horizontal="center" vertical="bottom"/>
    </xf>
    <xf numFmtId="49" fontId="7" fillId="5" borderId="36" applyNumberFormat="1" applyFont="1" applyFill="1" applyBorder="1" applyAlignment="1" applyProtection="0">
      <alignment horizontal="center" vertical="bottom"/>
    </xf>
    <xf numFmtId="49" fontId="0" fillId="5" borderId="37" applyNumberFormat="1" applyFont="1" applyFill="1" applyBorder="1" applyAlignment="1" applyProtection="0">
      <alignment vertical="bottom"/>
    </xf>
    <xf numFmtId="2" fontId="0" fillId="5" borderId="35" applyNumberFormat="1" applyFont="1" applyFill="1" applyBorder="1" applyAlignment="1" applyProtection="0">
      <alignment vertical="bottom"/>
    </xf>
    <xf numFmtId="2" fontId="0" fillId="5" borderId="35" applyNumberFormat="1" applyFont="1" applyFill="1" applyBorder="1" applyAlignment="1" applyProtection="0">
      <alignment vertical="center"/>
    </xf>
    <xf numFmtId="2" fontId="0" fillId="5" borderId="36" applyNumberFormat="1" applyFont="1" applyFill="1" applyBorder="1" applyAlignment="1" applyProtection="0">
      <alignment vertical="bottom"/>
    </xf>
    <xf numFmtId="2" fontId="0" fillId="5" borderId="37" applyNumberFormat="1" applyFont="1" applyFill="1" applyBorder="1" applyAlignment="1" applyProtection="0">
      <alignment vertical="bottom"/>
    </xf>
    <xf numFmtId="49" fontId="0" fillId="5" borderId="35" applyNumberFormat="1" applyFont="1" applyFill="1" applyBorder="1" applyAlignment="1" applyProtection="0">
      <alignment vertical="bottom"/>
    </xf>
    <xf numFmtId="2" fontId="0" fillId="5" borderId="38" applyNumberFormat="1" applyFont="1" applyFill="1" applyBorder="1" applyAlignment="1" applyProtection="0">
      <alignment vertical="bottom"/>
    </xf>
    <xf numFmtId="49" fontId="7" fillId="6" borderId="35" applyNumberFormat="1" applyFont="1" applyFill="1" applyBorder="1" applyAlignment="1" applyProtection="0">
      <alignment horizontal="right" vertical="bottom"/>
    </xf>
    <xf numFmtId="49" fontId="0" fillId="6" borderId="37" applyNumberFormat="1" applyFont="1" applyFill="1" applyBorder="1" applyAlignment="1" applyProtection="0">
      <alignment vertical="bottom"/>
    </xf>
    <xf numFmtId="49" fontId="0" fillId="6" borderId="35" applyNumberFormat="1" applyFont="1" applyFill="1" applyBorder="1" applyAlignment="1" applyProtection="0">
      <alignment vertical="bottom"/>
    </xf>
    <xf numFmtId="49" fontId="0" fillId="6" borderId="36" applyNumberFormat="1" applyFont="1" applyFill="1" applyBorder="1" applyAlignment="1" applyProtection="0">
      <alignment vertical="bottom"/>
    </xf>
    <xf numFmtId="2" fontId="7" fillId="6" borderId="36" applyNumberFormat="1" applyFont="1" applyFill="1" applyBorder="1" applyAlignment="1" applyProtection="0">
      <alignment horizontal="center" vertical="bottom"/>
    </xf>
    <xf numFmtId="49" fontId="7" fillId="6" borderId="35" applyNumberFormat="1" applyFont="1" applyFill="1" applyBorder="1" applyAlignment="1" applyProtection="0">
      <alignment horizontal="center" vertical="bottom"/>
    </xf>
    <xf numFmtId="0" fontId="0" fillId="6" borderId="38" applyNumberFormat="0" applyFont="1" applyFill="1" applyBorder="1" applyAlignment="1" applyProtection="0">
      <alignment vertical="bottom"/>
    </xf>
    <xf numFmtId="59" fontId="4" fillId="8" borderId="35" applyNumberFormat="1" applyFont="1" applyFill="1" applyBorder="1" applyAlignment="1" applyProtection="0">
      <alignment horizontal="right" vertical="bottom"/>
    </xf>
    <xf numFmtId="49" fontId="4" fillId="8" borderId="35" applyNumberFormat="1" applyFont="1" applyFill="1" applyBorder="1" applyAlignment="1" applyProtection="0">
      <alignment horizontal="left" vertical="bottom"/>
    </xf>
    <xf numFmtId="0" fontId="0" fillId="5" borderId="37" applyNumberFormat="0" applyFont="1" applyFill="1" applyBorder="1" applyAlignment="1" applyProtection="0">
      <alignment vertical="bottom"/>
    </xf>
    <xf numFmtId="0" fontId="0" fillId="5" borderId="35" applyNumberFormat="0" applyFont="1" applyFill="1" applyBorder="1" applyAlignment="1" applyProtection="0">
      <alignment vertical="bottom"/>
    </xf>
    <xf numFmtId="49" fontId="4" fillId="5" borderId="37" applyNumberFormat="1" applyFont="1" applyFill="1" applyBorder="1" applyAlignment="1" applyProtection="0">
      <alignment vertical="bottom"/>
    </xf>
    <xf numFmtId="0" fontId="4" fillId="5" borderId="35" applyNumberFormat="1" applyFont="1" applyFill="1" applyBorder="1" applyAlignment="1" applyProtection="0">
      <alignment vertical="bottom"/>
    </xf>
    <xf numFmtId="0" fontId="4" fillId="5" borderId="38" applyNumberFormat="0" applyFont="1" applyFill="1" applyBorder="1" applyAlignment="1" applyProtection="0">
      <alignment vertical="bottom"/>
    </xf>
    <xf numFmtId="49" fontId="4" fillId="8" borderId="35" applyNumberFormat="1" applyFont="1" applyFill="1" applyBorder="1" applyAlignment="1" applyProtection="0">
      <alignment horizontal="right" vertical="bottom"/>
    </xf>
    <xf numFmtId="0" fontId="4" fillId="5" borderId="37" applyNumberFormat="0" applyFont="1" applyFill="1" applyBorder="1" applyAlignment="1" applyProtection="0">
      <alignment vertical="bottom"/>
    </xf>
    <xf numFmtId="0" fontId="4" fillId="5" borderId="35" applyNumberFormat="0" applyFont="1" applyFill="1" applyBorder="1" applyAlignment="1" applyProtection="0">
      <alignment vertical="bottom"/>
    </xf>
    <xf numFmtId="49" fontId="15" fillId="5" borderId="35" applyNumberFormat="1" applyFont="1" applyFill="1" applyBorder="1" applyAlignment="1" applyProtection="0">
      <alignment horizontal="right" vertical="bottom"/>
    </xf>
    <xf numFmtId="49" fontId="15" fillId="5" borderId="36" applyNumberFormat="1" applyFont="1" applyFill="1" applyBorder="1" applyAlignment="1" applyProtection="0">
      <alignment horizontal="right" vertical="bottom"/>
    </xf>
    <xf numFmtId="2" fontId="15" fillId="5" borderId="37" applyNumberFormat="1" applyFont="1" applyFill="1" applyBorder="1" applyAlignment="1" applyProtection="0">
      <alignment vertical="bottom"/>
    </xf>
    <xf numFmtId="2" fontId="15" fillId="5" borderId="35" applyNumberFormat="1" applyFont="1" applyFill="1" applyBorder="1" applyAlignment="1" applyProtection="0">
      <alignment vertical="bottom"/>
    </xf>
    <xf numFmtId="2" fontId="15" fillId="5" borderId="36" applyNumberFormat="1" applyFont="1" applyFill="1" applyBorder="1" applyAlignment="1" applyProtection="0">
      <alignment vertical="bottom"/>
    </xf>
    <xf numFmtId="0" fontId="4" fillId="5" borderId="37" applyNumberFormat="1" applyFont="1" applyFill="1" applyBorder="1" applyAlignment="1" applyProtection="0">
      <alignment vertical="bottom"/>
    </xf>
    <xf numFmtId="49" fontId="6" fillId="7" borderId="35" applyNumberFormat="1" applyFont="1" applyFill="1" applyBorder="1" applyAlignment="1" applyProtection="0">
      <alignment horizontal="right" vertical="bottom"/>
    </xf>
    <xf numFmtId="49" fontId="6" fillId="7" borderId="35" applyNumberFormat="1" applyFont="1" applyFill="1" applyBorder="1" applyAlignment="1" applyProtection="0">
      <alignment horizontal="left" vertical="bottom"/>
    </xf>
    <xf numFmtId="49" fontId="6" fillId="7" borderId="35" applyNumberFormat="1" applyFont="1" applyFill="1" applyBorder="1" applyAlignment="1" applyProtection="0">
      <alignment horizontal="center" vertical="bottom"/>
    </xf>
    <xf numFmtId="49" fontId="16" fillId="7" borderId="35" applyNumberFormat="1" applyFont="1" applyFill="1" applyBorder="1" applyAlignment="1" applyProtection="0">
      <alignment horizontal="right" vertical="bottom"/>
    </xf>
    <xf numFmtId="49" fontId="16" fillId="7" borderId="36" applyNumberFormat="1" applyFont="1" applyFill="1" applyBorder="1" applyAlignment="1" applyProtection="0">
      <alignment horizontal="right" vertical="bottom"/>
    </xf>
    <xf numFmtId="2" fontId="16" fillId="7" borderId="37" applyNumberFormat="1" applyFont="1" applyFill="1" applyBorder="1" applyAlignment="1" applyProtection="0">
      <alignment vertical="bottom"/>
    </xf>
    <xf numFmtId="2" fontId="16" fillId="7" borderId="35" applyNumberFormat="1" applyFont="1" applyFill="1" applyBorder="1" applyAlignment="1" applyProtection="0">
      <alignment vertical="bottom"/>
    </xf>
    <xf numFmtId="2" fontId="16" fillId="7" borderId="36" applyNumberFormat="1" applyFont="1" applyFill="1" applyBorder="1" applyAlignment="1" applyProtection="0">
      <alignment vertical="bottom"/>
    </xf>
    <xf numFmtId="0" fontId="16" fillId="7" borderId="37" applyNumberFormat="1" applyFont="1" applyFill="1" applyBorder="1" applyAlignment="1" applyProtection="0">
      <alignment vertical="bottom"/>
    </xf>
    <xf numFmtId="0" fontId="16" fillId="7" borderId="36" applyNumberFormat="1" applyFont="1" applyFill="1" applyBorder="1" applyAlignment="1" applyProtection="0">
      <alignment vertical="bottom"/>
    </xf>
    <xf numFmtId="0" fontId="16" fillId="7" borderId="35" applyNumberFormat="1" applyFont="1" applyFill="1" applyBorder="1" applyAlignment="1" applyProtection="0">
      <alignment vertical="bottom"/>
    </xf>
    <xf numFmtId="2" fontId="16" fillId="7" borderId="38" applyNumberFormat="1" applyFont="1" applyFill="1" applyBorder="1" applyAlignment="1" applyProtection="0">
      <alignment vertical="bottom"/>
    </xf>
    <xf numFmtId="49" fontId="0" fillId="5" borderId="36" applyNumberFormat="1" applyFont="1" applyFill="1" applyBorder="1" applyAlignment="1" applyProtection="0">
      <alignment vertical="bottom"/>
    </xf>
    <xf numFmtId="0" fontId="0" fillId="5" borderId="38" applyNumberFormat="0" applyFont="1" applyFill="1" applyBorder="1" applyAlignment="1" applyProtection="0">
      <alignment vertical="bottom"/>
    </xf>
    <xf numFmtId="0" fontId="8" fillId="6" borderId="35" applyNumberFormat="1" applyFont="1" applyFill="1" applyBorder="1" applyAlignment="1" applyProtection="0">
      <alignment horizontal="center" vertical="bottom"/>
    </xf>
    <xf numFmtId="0" fontId="0" fillId="6" borderId="37" applyNumberFormat="0" applyFont="1" applyFill="1" applyBorder="1" applyAlignment="1" applyProtection="0">
      <alignment vertical="bottom"/>
    </xf>
    <xf numFmtId="0" fontId="0" fillId="6" borderId="35" applyNumberFormat="0" applyFont="1" applyFill="1" applyBorder="1" applyAlignment="1" applyProtection="0">
      <alignment vertical="bottom"/>
    </xf>
    <xf numFmtId="0" fontId="4" fillId="5" borderId="36" applyNumberFormat="1" applyFont="1" applyFill="1" applyBorder="1" applyAlignment="1" applyProtection="0">
      <alignment vertical="bottom"/>
    </xf>
    <xf numFmtId="2" fontId="4" fillId="5" borderId="37" applyNumberFormat="1" applyFont="1" applyFill="1" applyBorder="1" applyAlignment="1" applyProtection="0">
      <alignment horizontal="right" vertical="bottom"/>
    </xf>
    <xf numFmtId="0" fontId="4" fillId="5" borderId="36" applyNumberFormat="0" applyFont="1" applyFill="1" applyBorder="1" applyAlignment="1" applyProtection="0">
      <alignment vertical="bottom"/>
    </xf>
    <xf numFmtId="2" fontId="4" fillId="5" borderId="36" applyNumberFormat="1" applyFont="1" applyFill="1" applyBorder="1" applyAlignment="1" applyProtection="0">
      <alignment horizontal="right" vertical="bottom"/>
    </xf>
    <xf numFmtId="0" fontId="4" fillId="5" borderId="37" applyNumberFormat="1" applyFont="1" applyFill="1" applyBorder="1" applyAlignment="1" applyProtection="0">
      <alignment horizontal="right" vertical="bottom"/>
    </xf>
    <xf numFmtId="49" fontId="17" fillId="5" borderId="35" applyNumberFormat="1" applyFont="1" applyFill="1" applyBorder="1" applyAlignment="1" applyProtection="0">
      <alignment horizontal="right" vertical="bottom"/>
    </xf>
    <xf numFmtId="49" fontId="17" fillId="5" borderId="35" applyNumberFormat="1" applyFont="1" applyFill="1" applyBorder="1" applyAlignment="1" applyProtection="0">
      <alignment horizontal="left" vertical="bottom"/>
    </xf>
    <xf numFmtId="49" fontId="17" fillId="5" borderId="35" applyNumberFormat="1" applyFont="1" applyFill="1" applyBorder="1" applyAlignment="1" applyProtection="0">
      <alignment horizontal="center" vertical="bottom"/>
    </xf>
    <xf numFmtId="0" fontId="17" fillId="5" borderId="35" applyNumberFormat="0" applyFont="1" applyFill="1" applyBorder="1" applyAlignment="1" applyProtection="0">
      <alignment vertical="bottom"/>
    </xf>
    <xf numFmtId="2" fontId="17" fillId="5" borderId="36" applyNumberFormat="1" applyFont="1" applyFill="1" applyBorder="1" applyAlignment="1" applyProtection="0">
      <alignment horizontal="center" vertical="bottom"/>
    </xf>
    <xf numFmtId="2" fontId="17" fillId="5" borderId="35" applyNumberFormat="1" applyFont="1" applyFill="1" applyBorder="1" applyAlignment="1" applyProtection="0">
      <alignment horizontal="center" vertical="bottom"/>
    </xf>
    <xf numFmtId="2" fontId="17" fillId="5" borderId="35" applyNumberFormat="1" applyFont="1" applyFill="1" applyBorder="1" applyAlignment="1" applyProtection="0">
      <alignment vertical="bottom"/>
    </xf>
    <xf numFmtId="2" fontId="17" fillId="5" borderId="38" applyNumberFormat="1" applyFont="1" applyFill="1" applyBorder="1" applyAlignment="1" applyProtection="0">
      <alignment vertical="bottom"/>
    </xf>
    <xf numFmtId="49" fontId="17" fillId="7" borderId="35" applyNumberFormat="1" applyFont="1" applyFill="1" applyBorder="1" applyAlignment="1" applyProtection="0">
      <alignment horizontal="right" vertical="bottom"/>
    </xf>
    <xf numFmtId="49" fontId="17" fillId="7" borderId="35" applyNumberFormat="1" applyFont="1" applyFill="1" applyBorder="1" applyAlignment="1" applyProtection="0">
      <alignment horizontal="left" vertical="bottom"/>
    </xf>
    <xf numFmtId="49" fontId="17" fillId="7" borderId="35" applyNumberFormat="1" applyFont="1" applyFill="1" applyBorder="1" applyAlignment="1" applyProtection="0">
      <alignment horizontal="center" vertical="bottom"/>
    </xf>
    <xf numFmtId="49" fontId="7" fillId="5" borderId="37" applyNumberFormat="1" applyFont="1" applyFill="1" applyBorder="1" applyAlignment="1" applyProtection="0">
      <alignment horizontal="right" vertical="bottom"/>
    </xf>
    <xf numFmtId="60" fontId="7" fillId="5" borderId="35" applyNumberFormat="1" applyFont="1" applyFill="1" applyBorder="1" applyAlignment="1" applyProtection="0">
      <alignment horizontal="right" vertical="bottom"/>
    </xf>
    <xf numFmtId="0" fontId="7" fillId="5" borderId="35" applyNumberFormat="0" applyFont="1" applyFill="1" applyBorder="1" applyAlignment="1" applyProtection="0">
      <alignment horizontal="left" vertical="bottom"/>
    </xf>
    <xf numFmtId="0" fontId="7" fillId="5" borderId="35" applyNumberFormat="0" applyFont="1" applyFill="1" applyBorder="1" applyAlignment="1" applyProtection="0">
      <alignment horizontal="center" vertical="bottom"/>
    </xf>
    <xf numFmtId="0" fontId="7" fillId="5" borderId="36" applyNumberFormat="0" applyFont="1" applyFill="1" applyBorder="1" applyAlignment="1" applyProtection="0">
      <alignment horizontal="center" vertical="bottom"/>
    </xf>
    <xf numFmtId="60" fontId="7" fillId="2" borderId="35" applyNumberFormat="1" applyFont="1" applyFill="1" applyBorder="1" applyAlignment="1" applyProtection="0">
      <alignment horizontal="right" vertical="bottom"/>
    </xf>
    <xf numFmtId="0" fontId="0" fillId="2" borderId="35" applyNumberFormat="0" applyFont="1" applyFill="1" applyBorder="1" applyAlignment="1" applyProtection="0">
      <alignment vertical="bottom"/>
    </xf>
    <xf numFmtId="0" fontId="7" fillId="2" borderId="35" applyNumberFormat="0" applyFont="1" applyFill="1" applyBorder="1" applyAlignment="1" applyProtection="0">
      <alignment horizontal="center" vertical="bottom"/>
    </xf>
    <xf numFmtId="0" fontId="7" fillId="2" borderId="36" applyNumberFormat="0" applyFont="1" applyFill="1" applyBorder="1" applyAlignment="1" applyProtection="0">
      <alignment horizontal="center" vertical="bottom"/>
    </xf>
    <xf numFmtId="1" fontId="0" fillId="2" borderId="37" applyNumberFormat="1" applyFont="1" applyFill="1" applyBorder="1" applyAlignment="1" applyProtection="0">
      <alignment vertical="bottom"/>
    </xf>
    <xf numFmtId="1" fontId="0" fillId="2" borderId="35" applyNumberFormat="1" applyFont="1" applyFill="1" applyBorder="1" applyAlignment="1" applyProtection="0">
      <alignment vertical="bottom"/>
    </xf>
    <xf numFmtId="1" fontId="0" fillId="2" borderId="36" applyNumberFormat="1" applyFont="1" applyFill="1" applyBorder="1" applyAlignment="1" applyProtection="0">
      <alignment vertical="bottom"/>
    </xf>
    <xf numFmtId="1" fontId="6" fillId="2" borderId="35" applyNumberFormat="1" applyFont="1" applyFill="1" applyBorder="1" applyAlignment="1" applyProtection="0">
      <alignment vertical="bottom"/>
    </xf>
    <xf numFmtId="1" fontId="6" fillId="2" borderId="38" applyNumberFormat="1" applyFont="1" applyFill="1" applyBorder="1" applyAlignment="1" applyProtection="0">
      <alignment vertical="bottom"/>
    </xf>
    <xf numFmtId="49" fontId="18" fillId="2" borderId="35" applyNumberFormat="1" applyFont="1" applyFill="1" applyBorder="1" applyAlignment="1" applyProtection="0">
      <alignment horizontal="center" vertical="bottom"/>
    </xf>
    <xf numFmtId="2" fontId="8" fillId="2" borderId="39" applyNumberFormat="1" applyFont="1" applyFill="1" applyBorder="1" applyAlignment="1" applyProtection="0">
      <alignment vertical="bottom"/>
    </xf>
    <xf numFmtId="2" fontId="8" fillId="2" borderId="40" applyNumberFormat="1" applyFont="1" applyFill="1" applyBorder="1" applyAlignment="1" applyProtection="0">
      <alignment vertical="bottom"/>
    </xf>
    <xf numFmtId="2" fontId="8" fillId="2" borderId="41" applyNumberFormat="1" applyFont="1" applyFill="1" applyBorder="1" applyAlignment="1" applyProtection="0">
      <alignment vertical="bottom"/>
    </xf>
    <xf numFmtId="2" fontId="8" fillId="2" borderId="42" applyNumberFormat="1" applyFont="1" applyFill="1" applyBorder="1" applyAlignment="1" applyProtection="0">
      <alignment vertical="bottom"/>
    </xf>
    <xf numFmtId="60" fontId="4" fillId="2" borderId="35" applyNumberFormat="1" applyFont="1" applyFill="1" applyBorder="1" applyAlignment="1" applyProtection="0">
      <alignment vertical="bottom"/>
    </xf>
    <xf numFmtId="0" fontId="4" fillId="2" borderId="35" applyNumberFormat="0" applyFont="1" applyFill="1" applyBorder="1" applyAlignment="1" applyProtection="0">
      <alignment vertical="bottom"/>
    </xf>
    <xf numFmtId="0" fontId="4" fillId="2" borderId="35" applyNumberFormat="0" applyFont="1" applyFill="1" applyBorder="1" applyAlignment="1" applyProtection="0">
      <alignment horizontal="center" vertical="bottom"/>
    </xf>
    <xf numFmtId="0" fontId="4" fillId="2" borderId="36" applyNumberFormat="0" applyFont="1" applyFill="1" applyBorder="1" applyAlignment="1" applyProtection="0">
      <alignment horizontal="center" vertical="bottom"/>
    </xf>
    <xf numFmtId="2" fontId="19" fillId="2" borderId="43" applyNumberFormat="1" applyFont="1" applyFill="1" applyBorder="1" applyAlignment="1" applyProtection="0">
      <alignment horizontal="center" vertical="bottom"/>
    </xf>
    <xf numFmtId="0" fontId="0" fillId="4" borderId="44" applyNumberFormat="0" applyFont="1" applyFill="1" applyBorder="1" applyAlignment="1" applyProtection="0">
      <alignment vertical="bottom"/>
    </xf>
    <xf numFmtId="0" fontId="0" fillId="4" borderId="45" applyNumberFormat="0" applyFont="1" applyFill="1" applyBorder="1" applyAlignment="1" applyProtection="0">
      <alignment vertical="bottom"/>
    </xf>
    <xf numFmtId="0" fontId="0" fillId="4" borderId="46" applyNumberFormat="0" applyFont="1" applyFill="1" applyBorder="1" applyAlignment="1" applyProtection="0">
      <alignment vertical="bottom"/>
    </xf>
    <xf numFmtId="49" fontId="4" fillId="9" borderId="35" applyNumberFormat="1" applyFont="1" applyFill="1" applyBorder="1" applyAlignment="1" applyProtection="0">
      <alignment vertical="bottom"/>
    </xf>
    <xf numFmtId="0" fontId="4" fillId="9" borderId="35" applyNumberFormat="0" applyFont="1" applyFill="1" applyBorder="1" applyAlignment="1" applyProtection="0">
      <alignment vertical="bottom"/>
    </xf>
    <xf numFmtId="0" fontId="4" fillId="9" borderId="35" applyNumberFormat="0" applyFont="1" applyFill="1" applyBorder="1" applyAlignment="1" applyProtection="0">
      <alignment horizontal="center" vertical="bottom"/>
    </xf>
    <xf numFmtId="0" fontId="4" fillId="9" borderId="36" applyNumberFormat="0" applyFont="1" applyFill="1" applyBorder="1" applyAlignment="1" applyProtection="0">
      <alignment horizontal="center" vertical="bottom"/>
    </xf>
    <xf numFmtId="0" fontId="0" fillId="4" borderId="39" applyNumberFormat="0" applyFont="1" applyFill="1" applyBorder="1" applyAlignment="1" applyProtection="0">
      <alignment vertical="bottom"/>
    </xf>
    <xf numFmtId="0" fontId="0" fillId="4" borderId="40" applyNumberFormat="0" applyFont="1" applyFill="1" applyBorder="1" applyAlignment="1" applyProtection="0">
      <alignment vertical="bottom"/>
    </xf>
    <xf numFmtId="0" fontId="0" fillId="4" borderId="41" applyNumberFormat="0" applyFont="1" applyFill="1" applyBorder="1" applyAlignment="1" applyProtection="0">
      <alignment vertical="bottom"/>
    </xf>
    <xf numFmtId="0" fontId="0" fillId="4" borderId="37" applyNumberFormat="0" applyFont="1" applyFill="1" applyBorder="1" applyAlignment="1" applyProtection="0">
      <alignment vertical="bottom"/>
    </xf>
    <xf numFmtId="0" fontId="0" fillId="2" borderId="47" applyNumberFormat="0" applyFont="1" applyFill="1" applyBorder="1" applyAlignment="1" applyProtection="0">
      <alignment vertical="bottom"/>
    </xf>
    <xf numFmtId="0" fontId="0" fillId="2" borderId="48" applyNumberFormat="0" applyFont="1" applyFill="1" applyBorder="1" applyAlignment="1" applyProtection="0">
      <alignment vertical="bottom"/>
    </xf>
    <xf numFmtId="2" fontId="19" fillId="2" borderId="49" applyNumberFormat="1" applyFont="1" applyFill="1" applyBorder="1" applyAlignment="1" applyProtection="0">
      <alignment horizontal="center" vertical="bottom"/>
    </xf>
    <xf numFmtId="0" fontId="0" fillId="4" borderId="50" applyNumberFormat="0" applyFont="1" applyFill="1" applyBorder="1" applyAlignment="1" applyProtection="0">
      <alignment vertical="bottom"/>
    </xf>
    <xf numFmtId="0" fontId="0" fillId="4" borderId="51" applyNumberFormat="0" applyFont="1" applyFill="1" applyBorder="1" applyAlignment="1" applyProtection="0">
      <alignment vertical="bottom"/>
    </xf>
    <xf numFmtId="0" fontId="0" fillId="4" borderId="52" applyNumberFormat="0" applyFont="1" applyFill="1" applyBorder="1" applyAlignment="1" applyProtection="0">
      <alignment vertical="bottom"/>
    </xf>
    <xf numFmtId="0" fontId="0" fillId="4" borderId="47" applyNumberFormat="0" applyFont="1" applyFill="1" applyBorder="1" applyAlignment="1" applyProtection="0">
      <alignment vertical="bottom"/>
    </xf>
    <xf numFmtId="0" fontId="0" fillId="4" borderId="48" applyNumberFormat="0" applyFont="1" applyFill="1" applyBorder="1" applyAlignment="1" applyProtection="0">
      <alignment vertical="bottom"/>
    </xf>
    <xf numFmtId="0" fontId="0" fillId="4" borderId="53" applyNumberFormat="0" applyFont="1" applyFill="1" applyBorder="1" applyAlignment="1" applyProtection="0">
      <alignment vertical="bottom"/>
    </xf>
    <xf numFmtId="0" fontId="0" fillId="4" borderId="54" applyNumberFormat="0" applyFont="1" applyFill="1" applyBorder="1" applyAlignment="1" applyProtection="0">
      <alignment vertical="bottom"/>
    </xf>
    <xf numFmtId="0" fontId="0" fillId="4" borderId="55" applyNumberFormat="0" applyFont="1" applyFill="1" applyBorder="1" applyAlignment="1" applyProtection="0">
      <alignment vertical="bottom"/>
    </xf>
    <xf numFmtId="0" fontId="0" fillId="2" borderId="56" applyNumberFormat="0" applyFont="1" applyFill="1" applyBorder="1" applyAlignment="1" applyProtection="0">
      <alignment vertical="bottom"/>
    </xf>
    <xf numFmtId="10" fontId="0" fillId="2" borderId="12" applyNumberFormat="1" applyFont="1" applyFill="1" applyBorder="1" applyAlignment="1" applyProtection="0">
      <alignment vertical="bottom"/>
    </xf>
    <xf numFmtId="10" fontId="4" fillId="2" borderId="12" applyNumberFormat="1" applyFont="1" applyFill="1" applyBorder="1" applyAlignment="1" applyProtection="0">
      <alignment vertical="bottom"/>
    </xf>
    <xf numFmtId="49" fontId="0" fillId="2" borderId="12" applyNumberFormat="1" applyFont="1" applyFill="1" applyBorder="1" applyAlignment="1" applyProtection="0">
      <alignment vertical="bottom"/>
    </xf>
    <xf numFmtId="49" fontId="0" fillId="2" borderId="9" applyNumberFormat="1" applyFont="1" applyFill="1" applyBorder="1" applyAlignment="1" applyProtection="0">
      <alignment vertical="bottom"/>
    </xf>
    <xf numFmtId="1" fontId="0" fillId="2" borderId="9" applyNumberFormat="1" applyFont="1" applyFill="1" applyBorder="1" applyAlignment="1" applyProtection="0">
      <alignment vertical="bottom"/>
    </xf>
    <xf numFmtId="1" fontId="20" fillId="2" borderId="9" applyNumberFormat="1" applyFont="1" applyFill="1" applyBorder="1" applyAlignment="1" applyProtection="0">
      <alignment vertical="bottom"/>
    </xf>
    <xf numFmtId="1" fontId="21" fillId="2" borderId="9" applyNumberFormat="1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efefe"/>
      <rgbColor rgb="ffaaaaaa"/>
      <rgbColor rgb="ffccad28"/>
      <rgbColor rgb="ffffffff"/>
      <rgbColor rgb="fffe6500"/>
      <rgbColor rgb="ff7fd0ff"/>
      <rgbColor rgb="ffffd932"/>
      <rgbColor rgb="ff4dac2b"/>
      <rgbColor rgb="fffe6500"/>
      <rgbColor rgb="fffefb00"/>
      <rgbColor rgb="fffecc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/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Q98"/>
  <sheetViews>
    <sheetView workbookViewId="0" showGridLines="0" defaultGridColor="1"/>
  </sheetViews>
  <sheetFormatPr defaultColWidth="4.16667" defaultRowHeight="14.15" customHeight="1" outlineLevelRow="0" outlineLevelCol="0"/>
  <cols>
    <col min="1" max="1" width="21.3516" style="1" customWidth="1"/>
    <col min="2" max="2" width="15.5" style="1" customWidth="1"/>
    <col min="3" max="3" width="28.1719" style="1" customWidth="1"/>
    <col min="4" max="5" width="23.2109" style="1" customWidth="1"/>
    <col min="6" max="6" width="14.2969" style="1" customWidth="1"/>
    <col min="7" max="7" width="14.1172" style="1" customWidth="1"/>
    <col min="8" max="8" width="13.9844" style="1" customWidth="1"/>
    <col min="9" max="9" width="14.8359" style="1" customWidth="1"/>
    <col min="10" max="10" width="14.7266" style="1" customWidth="1"/>
    <col min="11" max="11" width="15.1094" style="1" customWidth="1"/>
    <col min="12" max="12" width="13" style="1" customWidth="1"/>
    <col min="13" max="13" width="15.6406" style="1" customWidth="1"/>
    <col min="14" max="14" width="15.8516" style="1" customWidth="1"/>
    <col min="15" max="15" width="14.6719" style="1" customWidth="1"/>
    <col min="16" max="17" width="15.5" style="1" customWidth="1"/>
    <col min="18" max="16384" width="4.17188" style="1" customWidth="1"/>
  </cols>
  <sheetData>
    <row r="1" ht="35.75" customHeight="1">
      <c r="A1" s="2"/>
      <c r="B1" s="3"/>
      <c r="C1" s="3"/>
      <c r="D1" s="3"/>
      <c r="E1" s="4"/>
      <c r="F1" t="s" s="5">
        <v>0</v>
      </c>
      <c r="G1" s="6"/>
      <c r="H1" s="6"/>
      <c r="I1" s="6"/>
      <c r="J1" s="6"/>
      <c r="K1" s="6"/>
      <c r="L1" s="7"/>
      <c r="M1" t="s" s="5">
        <v>1</v>
      </c>
      <c r="N1" s="6"/>
      <c r="O1" s="6"/>
      <c r="P1" s="6"/>
      <c r="Q1" s="7"/>
    </row>
    <row r="2" ht="27.1" customHeight="1">
      <c r="A2" t="s" s="8">
        <v>2</v>
      </c>
      <c r="B2" s="9"/>
      <c r="C2" s="10"/>
      <c r="D2" s="10"/>
      <c r="E2" s="11"/>
      <c r="F2" t="s" s="12">
        <v>3</v>
      </c>
      <c r="G2" s="6"/>
      <c r="H2" s="6"/>
      <c r="I2" s="7"/>
      <c r="J2" t="s" s="13">
        <v>4</v>
      </c>
      <c r="K2" s="6"/>
      <c r="L2" s="7"/>
      <c r="M2" s="14"/>
      <c r="N2" s="15"/>
      <c r="O2" s="15"/>
      <c r="P2" s="15"/>
      <c r="Q2" s="16"/>
    </row>
    <row r="3" ht="19.5" customHeight="1">
      <c r="A3" s="17"/>
      <c r="B3" s="18"/>
      <c r="C3" s="18"/>
      <c r="D3" s="18"/>
      <c r="E3" s="19"/>
      <c r="F3" t="s" s="20">
        <v>5</v>
      </c>
      <c r="G3" s="21"/>
      <c r="H3" t="s" s="22">
        <v>6</v>
      </c>
      <c r="I3" s="23"/>
      <c r="J3" s="24"/>
      <c r="K3" s="25"/>
      <c r="L3" s="26"/>
      <c r="M3" s="27"/>
      <c r="N3" s="28"/>
      <c r="O3" s="28"/>
      <c r="P3" s="28"/>
      <c r="Q3" s="29"/>
    </row>
    <row r="4" ht="34" customHeight="1">
      <c r="A4" t="s" s="30">
        <v>7</v>
      </c>
      <c r="B4" t="s" s="31">
        <v>8</v>
      </c>
      <c r="C4" t="s" s="31">
        <v>9</v>
      </c>
      <c r="D4" t="s" s="32">
        <v>10</v>
      </c>
      <c r="E4" t="s" s="33">
        <v>11</v>
      </c>
      <c r="F4" t="s" s="34">
        <v>12</v>
      </c>
      <c r="G4" t="s" s="34">
        <v>13</v>
      </c>
      <c r="H4" t="s" s="34">
        <v>12</v>
      </c>
      <c r="I4" t="s" s="35">
        <v>13</v>
      </c>
      <c r="J4" t="s" s="36">
        <v>14</v>
      </c>
      <c r="K4" t="s" s="37">
        <v>15</v>
      </c>
      <c r="L4" t="s" s="38">
        <v>16</v>
      </c>
      <c r="M4" t="s" s="39">
        <v>17</v>
      </c>
      <c r="N4" t="s" s="32">
        <v>18</v>
      </c>
      <c r="O4" t="s" s="33">
        <v>19</v>
      </c>
      <c r="P4" t="s" s="34">
        <v>20</v>
      </c>
      <c r="Q4" t="s" s="34">
        <v>21</v>
      </c>
    </row>
    <row r="5" ht="21.5" customHeight="1">
      <c r="A5" t="s" s="40">
        <v>22</v>
      </c>
      <c r="B5" s="41"/>
      <c r="C5" s="41"/>
      <c r="D5" s="41"/>
      <c r="E5" s="42"/>
      <c r="F5" t="s" s="43">
        <v>9</v>
      </c>
      <c r="G5" s="44"/>
      <c r="H5" s="44"/>
      <c r="I5" s="45"/>
      <c r="J5" t="s" s="43">
        <v>9</v>
      </c>
      <c r="K5" t="s" s="44">
        <v>9</v>
      </c>
      <c r="L5" s="46"/>
      <c r="M5" t="s" s="43">
        <v>9</v>
      </c>
      <c r="N5" t="s" s="44">
        <v>9</v>
      </c>
      <c r="O5" t="s" s="47">
        <v>9</v>
      </c>
      <c r="P5" s="48"/>
      <c r="Q5" s="49"/>
    </row>
    <row r="6" ht="13" customHeight="1">
      <c r="A6" t="s" s="50">
        <v>23</v>
      </c>
      <c r="B6" t="s" s="51">
        <v>24</v>
      </c>
      <c r="C6" t="s" s="51">
        <v>25</v>
      </c>
      <c r="D6" t="s" s="52">
        <v>26</v>
      </c>
      <c r="E6" t="s" s="53">
        <v>27</v>
      </c>
      <c r="F6" s="54">
        <f>386.63*3</f>
        <v>1159.89</v>
      </c>
      <c r="G6" s="55">
        <f>197.77*3</f>
        <v>593.3099999999999</v>
      </c>
      <c r="H6" s="55">
        <f>390.81</f>
        <v>390.81</v>
      </c>
      <c r="I6" s="56">
        <v>220.34</v>
      </c>
      <c r="J6" s="54"/>
      <c r="K6" s="55">
        <f>(120*0.3)+(1077.79/8)</f>
        <v>170.72375</v>
      </c>
      <c r="L6" s="57"/>
      <c r="M6" s="54"/>
      <c r="N6" s="55"/>
      <c r="O6" s="58"/>
      <c r="P6" s="55"/>
      <c r="Q6" s="59"/>
    </row>
    <row r="7" ht="13" customHeight="1">
      <c r="A7" t="s" s="50">
        <v>28</v>
      </c>
      <c r="B7" t="s" s="51">
        <v>29</v>
      </c>
      <c r="C7" t="s" s="51">
        <v>30</v>
      </c>
      <c r="D7" t="s" s="52">
        <v>26</v>
      </c>
      <c r="E7" t="s" s="53">
        <v>31</v>
      </c>
      <c r="F7" s="54">
        <f>520*3</f>
        <v>1560</v>
      </c>
      <c r="G7" s="55">
        <f>265.99*3</f>
        <v>797.97</v>
      </c>
      <c r="H7" s="55">
        <v>520</v>
      </c>
      <c r="I7" s="56">
        <v>293.26</v>
      </c>
      <c r="J7" s="54"/>
      <c r="K7" s="55">
        <f t="shared" si="6" ref="K7:K8">(1077.79/8)</f>
        <v>134.72375</v>
      </c>
      <c r="L7" s="57"/>
      <c r="M7" s="54"/>
      <c r="N7" s="55"/>
      <c r="O7" s="58"/>
      <c r="P7" s="55"/>
      <c r="Q7" s="59">
        <f>2000+3000</f>
        <v>5000</v>
      </c>
    </row>
    <row r="8" ht="14" customHeight="1">
      <c r="A8" t="s" s="50">
        <v>32</v>
      </c>
      <c r="B8" t="s" s="51">
        <v>33</v>
      </c>
      <c r="C8" t="s" s="51">
        <v>34</v>
      </c>
      <c r="D8" t="s" s="52">
        <v>26</v>
      </c>
      <c r="E8" t="s" s="53">
        <v>35</v>
      </c>
      <c r="F8" s="54">
        <f t="shared" si="8" ref="F8:F9">260*3</f>
        <v>780</v>
      </c>
      <c r="G8" s="55">
        <f t="shared" si="9" ref="G8:G9">132.97*3</f>
        <v>398.91</v>
      </c>
      <c r="H8" s="55">
        <v>260</v>
      </c>
      <c r="I8" s="56">
        <v>146.61</v>
      </c>
      <c r="J8" s="54"/>
      <c r="K8" s="55">
        <f t="shared" si="6"/>
        <v>134.72375</v>
      </c>
      <c r="L8" s="57"/>
      <c r="M8" s="54"/>
      <c r="N8" s="55"/>
      <c r="O8" s="58"/>
      <c r="P8" s="55"/>
      <c r="Q8" s="59"/>
    </row>
    <row r="9" ht="14" customHeight="1">
      <c r="A9" t="s" s="50">
        <v>36</v>
      </c>
      <c r="B9" t="s" s="51">
        <v>33</v>
      </c>
      <c r="C9" t="s" s="51">
        <v>34</v>
      </c>
      <c r="D9" t="s" s="52">
        <v>26</v>
      </c>
      <c r="E9" t="s" s="53">
        <v>35</v>
      </c>
      <c r="F9" s="54">
        <f t="shared" si="8"/>
        <v>780</v>
      </c>
      <c r="G9" s="55">
        <f t="shared" si="9"/>
        <v>398.91</v>
      </c>
      <c r="H9" s="55">
        <f>260*2</f>
        <v>520</v>
      </c>
      <c r="I9" s="56">
        <f>145.98+108.46</f>
        <v>254.44</v>
      </c>
      <c r="J9" s="54"/>
      <c r="K9" s="55"/>
      <c r="L9" s="57"/>
      <c r="M9" s="54"/>
      <c r="N9" s="55"/>
      <c r="O9" s="58"/>
      <c r="P9" s="55"/>
      <c r="Q9" s="59"/>
    </row>
    <row r="10" ht="14" customHeight="1">
      <c r="A10" t="s" s="50">
        <v>37</v>
      </c>
      <c r="B10" t="s" s="51">
        <v>38</v>
      </c>
      <c r="C10" t="s" s="51">
        <v>39</v>
      </c>
      <c r="D10" t="s" s="52">
        <v>40</v>
      </c>
      <c r="E10" t="s" s="53">
        <v>41</v>
      </c>
      <c r="F10" s="54">
        <f t="shared" si="15" ref="F10:F11">(290*3)/2</f>
        <v>435</v>
      </c>
      <c r="G10" s="55">
        <f t="shared" si="16" ref="G10:G11">(148.37*3)/2</f>
        <v>222.555</v>
      </c>
      <c r="H10" s="55">
        <f>(290/2)+145</f>
        <v>290</v>
      </c>
      <c r="I10" s="56">
        <f>(160.66/2)+70.25</f>
        <v>150.58</v>
      </c>
      <c r="J10" s="54"/>
      <c r="K10" s="55">
        <f t="shared" si="19" ref="K10:K11">(130*0.3)</f>
        <v>39</v>
      </c>
      <c r="L10" s="57"/>
      <c r="M10" s="54">
        <v>2000</v>
      </c>
      <c r="N10" s="55"/>
      <c r="O10" s="58"/>
      <c r="P10" s="55"/>
      <c r="Q10" s="59"/>
    </row>
    <row r="11" ht="14" customHeight="1">
      <c r="A11" t="s" s="50">
        <v>42</v>
      </c>
      <c r="B11" t="s" s="51">
        <v>43</v>
      </c>
      <c r="C11" t="s" s="51">
        <v>44</v>
      </c>
      <c r="D11" t="s" s="52">
        <v>45</v>
      </c>
      <c r="E11" t="s" s="53">
        <v>41</v>
      </c>
      <c r="F11" s="54">
        <f t="shared" si="15"/>
        <v>435</v>
      </c>
      <c r="G11" s="55">
        <f t="shared" si="16"/>
        <v>222.555</v>
      </c>
      <c r="H11" s="55">
        <f>290/2</f>
        <v>145</v>
      </c>
      <c r="I11" s="56">
        <f>160.66/2</f>
        <v>80.33</v>
      </c>
      <c r="J11" s="54"/>
      <c r="K11" s="55">
        <f t="shared" si="19"/>
        <v>39</v>
      </c>
      <c r="L11" s="57"/>
      <c r="M11" s="54">
        <v>947.87</v>
      </c>
      <c r="N11" t="s" s="60">
        <v>9</v>
      </c>
      <c r="O11" s="58"/>
      <c r="P11" s="55"/>
      <c r="Q11" s="59"/>
    </row>
    <row r="12" ht="14" customHeight="1">
      <c r="A12" t="s" s="50">
        <v>46</v>
      </c>
      <c r="B12" t="s" s="51">
        <v>47</v>
      </c>
      <c r="C12" t="s" s="51">
        <v>48</v>
      </c>
      <c r="D12" t="s" s="52">
        <v>49</v>
      </c>
      <c r="E12" t="s" s="53">
        <v>41</v>
      </c>
      <c r="F12" s="54">
        <f t="shared" si="25" ref="F12:F15">(145*3)</f>
        <v>435</v>
      </c>
      <c r="G12" s="55">
        <f>74.18*3</f>
        <v>222.54</v>
      </c>
      <c r="H12" s="55">
        <f t="shared" si="27" ref="H12:H15">145*2</f>
        <v>290</v>
      </c>
      <c r="I12" s="56">
        <f>80.31+70.25</f>
        <v>150.56</v>
      </c>
      <c r="J12" s="61"/>
      <c r="K12" s="62"/>
      <c r="L12" s="63"/>
      <c r="M12" s="54">
        <v>157.51</v>
      </c>
      <c r="N12" s="62"/>
      <c r="O12" s="64"/>
      <c r="P12" s="62"/>
      <c r="Q12" s="65"/>
    </row>
    <row r="13" ht="13" customHeight="1">
      <c r="A13" t="s" s="50">
        <v>50</v>
      </c>
      <c r="B13" t="s" s="51">
        <v>51</v>
      </c>
      <c r="C13" t="s" s="51">
        <v>52</v>
      </c>
      <c r="D13" t="s" s="52">
        <v>53</v>
      </c>
      <c r="E13" t="s" s="53">
        <v>41</v>
      </c>
      <c r="F13" s="54">
        <f t="shared" si="25"/>
        <v>435</v>
      </c>
      <c r="G13" s="55">
        <f t="shared" si="30" ref="G13:G15">222.54</f>
        <v>222.54</v>
      </c>
      <c r="H13" s="55">
        <f>145</f>
        <v>145</v>
      </c>
      <c r="I13" s="56">
        <f>(210.77/3)</f>
        <v>70.2566666666667</v>
      </c>
      <c r="J13" s="61"/>
      <c r="K13" s="62"/>
      <c r="L13" s="63"/>
      <c r="M13" s="54">
        <v>1000</v>
      </c>
      <c r="N13" s="62"/>
      <c r="O13" s="64"/>
      <c r="P13" s="62"/>
      <c r="Q13" s="65"/>
    </row>
    <row r="14" ht="13" customHeight="1">
      <c r="A14" t="s" s="50">
        <v>54</v>
      </c>
      <c r="B14" t="s" s="51">
        <v>55</v>
      </c>
      <c r="C14" t="s" s="51">
        <v>56</v>
      </c>
      <c r="D14" t="s" s="52">
        <v>57</v>
      </c>
      <c r="E14" t="s" s="53">
        <v>41</v>
      </c>
      <c r="F14" s="54">
        <f t="shared" si="25"/>
        <v>435</v>
      </c>
      <c r="G14" s="55">
        <f t="shared" si="30"/>
        <v>222.54</v>
      </c>
      <c r="H14" s="55">
        <f t="shared" si="27"/>
        <v>290</v>
      </c>
      <c r="I14" s="56">
        <f t="shared" si="36" ref="I14:I15">80.33+(210.77/3)</f>
        <v>150.586666666667</v>
      </c>
      <c r="J14" s="61"/>
      <c r="K14" s="55">
        <f t="shared" si="37" ref="K14:K15">(260*0.3)/2</f>
        <v>39</v>
      </c>
      <c r="L14" s="63"/>
      <c r="M14" s="54">
        <f t="shared" si="38" ref="M14:M15">3225.6/2</f>
        <v>1612.8</v>
      </c>
      <c r="N14" s="62"/>
      <c r="O14" s="64"/>
      <c r="P14" s="62"/>
      <c r="Q14" s="65"/>
    </row>
    <row r="15" ht="13" customHeight="1">
      <c r="A15" t="s" s="50">
        <v>58</v>
      </c>
      <c r="B15" t="s" s="51">
        <v>55</v>
      </c>
      <c r="C15" t="s" s="51">
        <v>59</v>
      </c>
      <c r="D15" t="s" s="52">
        <v>57</v>
      </c>
      <c r="E15" t="s" s="53">
        <v>41</v>
      </c>
      <c r="F15" s="54">
        <f t="shared" si="25"/>
        <v>435</v>
      </c>
      <c r="G15" s="55">
        <f t="shared" si="30"/>
        <v>222.54</v>
      </c>
      <c r="H15" s="55">
        <f t="shared" si="27"/>
        <v>290</v>
      </c>
      <c r="I15" s="56">
        <f t="shared" si="36"/>
        <v>150.586666666667</v>
      </c>
      <c r="J15" s="61"/>
      <c r="K15" s="55">
        <f t="shared" si="37"/>
        <v>39</v>
      </c>
      <c r="L15" s="63"/>
      <c r="M15" s="54">
        <f t="shared" si="38"/>
        <v>1612.8</v>
      </c>
      <c r="N15" s="62"/>
      <c r="O15" s="64"/>
      <c r="P15" s="62"/>
      <c r="Q15" s="65"/>
    </row>
    <row r="16" ht="15" customHeight="1">
      <c r="A16" s="66"/>
      <c r="B16" s="67"/>
      <c r="C16" s="67"/>
      <c r="D16" s="67"/>
      <c r="E16" s="68"/>
      <c r="F16" s="69"/>
      <c r="G16" s="70"/>
      <c r="H16" s="70"/>
      <c r="I16" s="71"/>
      <c r="J16" s="54">
        <v>400</v>
      </c>
      <c r="K16" s="72"/>
      <c r="L16" s="73"/>
      <c r="M16" s="74"/>
      <c r="N16" s="55">
        <f>3000</f>
        <v>3000</v>
      </c>
      <c r="O16" s="75"/>
      <c r="P16" s="72"/>
      <c r="Q16" t="s" s="76">
        <v>9</v>
      </c>
    </row>
    <row r="17" ht="25.55" customHeight="1">
      <c r="A17" t="s" s="77">
        <v>60</v>
      </c>
      <c r="B17" s="67"/>
      <c r="C17" s="67"/>
      <c r="D17" s="67"/>
      <c r="E17" s="68"/>
      <c r="F17" s="78">
        <f>SUM(F6:F15)</f>
        <v>6889.89</v>
      </c>
      <c r="G17" s="79">
        <f>SUM(G6:G15)</f>
        <v>3524.37</v>
      </c>
      <c r="H17" s="79">
        <f>SUM(H6:H15)</f>
        <v>3140.81</v>
      </c>
      <c r="I17" s="80">
        <f>SUM(I6:I15)</f>
        <v>1667.55</v>
      </c>
      <c r="J17" s="78">
        <f>SUM(J6:J16)</f>
        <v>400</v>
      </c>
      <c r="K17" s="79">
        <f>SUM(K6:K16)</f>
        <v>596.17125</v>
      </c>
      <c r="L17" s="80">
        <f>SUM(L6:L16)</f>
        <v>0</v>
      </c>
      <c r="M17" s="78">
        <f>SUM(M6:M16)</f>
        <v>7330.98</v>
      </c>
      <c r="N17" s="79">
        <f>SUM(N6:N16)</f>
        <v>3000</v>
      </c>
      <c r="O17" s="79">
        <f>SUM(O6:O16)</f>
        <v>0</v>
      </c>
      <c r="P17" s="79">
        <f>SUM(P6:P16)</f>
        <v>0</v>
      </c>
      <c r="Q17" s="81">
        <f>SUM(Q6:Q16)</f>
        <v>5000</v>
      </c>
    </row>
    <row r="18" ht="13" customHeight="1">
      <c r="A18" t="s" s="82">
        <v>9</v>
      </c>
      <c r="B18" t="s" s="83">
        <v>9</v>
      </c>
      <c r="C18" t="s" s="83">
        <v>9</v>
      </c>
      <c r="D18" s="84"/>
      <c r="E18" t="s" s="85">
        <v>9</v>
      </c>
      <c r="F18" t="s" s="86">
        <v>9</v>
      </c>
      <c r="G18" s="87"/>
      <c r="H18" s="88"/>
      <c r="I18" s="89"/>
      <c r="J18" s="90"/>
      <c r="K18" t="s" s="91">
        <v>9</v>
      </c>
      <c r="L18" s="63"/>
      <c r="M18" s="90"/>
      <c r="N18" s="87"/>
      <c r="O18" s="64"/>
      <c r="P18" s="87"/>
      <c r="Q18" s="92"/>
    </row>
    <row r="19" ht="27.2" customHeight="1">
      <c r="A19" t="s" s="93">
        <v>61</v>
      </c>
      <c r="B19" s="67"/>
      <c r="C19" s="67"/>
      <c r="D19" s="67"/>
      <c r="E19" s="68"/>
      <c r="F19" t="s" s="94">
        <v>62</v>
      </c>
      <c r="G19" s="95"/>
      <c r="H19" s="95"/>
      <c r="I19" s="96"/>
      <c r="J19" t="s" s="94">
        <v>9</v>
      </c>
      <c r="K19" t="s" s="95">
        <v>9</v>
      </c>
      <c r="L19" s="97"/>
      <c r="M19" t="s" s="94">
        <v>9</v>
      </c>
      <c r="N19" t="s" s="95">
        <v>9</v>
      </c>
      <c r="O19" t="s" s="98">
        <v>9</v>
      </c>
      <c r="P19" t="s" s="95">
        <v>9</v>
      </c>
      <c r="Q19" s="99"/>
    </row>
    <row r="20" ht="13" customHeight="1">
      <c r="A20" s="100"/>
      <c r="B20" s="101"/>
      <c r="C20" s="101"/>
      <c r="D20" s="52"/>
      <c r="E20" s="53"/>
      <c r="F20" s="54"/>
      <c r="G20" s="87"/>
      <c r="H20" s="87"/>
      <c r="I20" s="89"/>
      <c r="J20" s="102"/>
      <c r="K20" s="103"/>
      <c r="L20" s="63"/>
      <c r="M20" s="90"/>
      <c r="N20" s="87"/>
      <c r="O20" s="64"/>
      <c r="P20" s="87"/>
      <c r="Q20" s="92"/>
    </row>
    <row r="21" ht="13" customHeight="1">
      <c r="A21" s="100"/>
      <c r="B21" s="101"/>
      <c r="C21" s="101"/>
      <c r="D21" s="52"/>
      <c r="E21" s="53"/>
      <c r="F21" s="54"/>
      <c r="G21" s="87"/>
      <c r="H21" s="87"/>
      <c r="I21" s="89"/>
      <c r="J21" s="102"/>
      <c r="K21" s="103"/>
      <c r="L21" s="63"/>
      <c r="M21" s="90"/>
      <c r="N21" s="87"/>
      <c r="O21" s="64"/>
      <c r="P21" s="87"/>
      <c r="Q21" s="92"/>
    </row>
    <row r="22" ht="13" customHeight="1">
      <c r="A22" s="100"/>
      <c r="B22" s="101"/>
      <c r="C22" s="101"/>
      <c r="D22" s="52"/>
      <c r="E22" s="53"/>
      <c r="F22" s="54"/>
      <c r="G22" s="87"/>
      <c r="H22" s="87"/>
      <c r="I22" s="89"/>
      <c r="J22" s="102"/>
      <c r="K22" s="103"/>
      <c r="L22" s="63"/>
      <c r="M22" s="90"/>
      <c r="N22" s="87"/>
      <c r="O22" s="64"/>
      <c r="P22" s="87"/>
      <c r="Q22" s="92"/>
    </row>
    <row r="23" ht="13" customHeight="1">
      <c r="A23" s="100">
        <v>44321</v>
      </c>
      <c r="B23" t="s" s="101">
        <v>63</v>
      </c>
      <c r="C23" t="s" s="101">
        <v>64</v>
      </c>
      <c r="D23" t="s" s="52">
        <v>26</v>
      </c>
      <c r="E23" t="s" s="53">
        <v>65</v>
      </c>
      <c r="F23" s="54">
        <f t="shared" si="58" ref="F23:F26">130*3</f>
        <v>390</v>
      </c>
      <c r="G23" s="55">
        <f>66.86*3</f>
        <v>200.58</v>
      </c>
      <c r="H23" s="55">
        <f t="shared" si="60" ref="H23:H42">130</f>
        <v>130</v>
      </c>
      <c r="I23" s="56">
        <f>72.65</f>
        <v>72.65000000000001</v>
      </c>
      <c r="J23" t="s" s="104">
        <v>9</v>
      </c>
      <c r="K23" s="105">
        <f t="shared" si="62" ref="K23:K24">949/2</f>
        <v>474.5</v>
      </c>
      <c r="L23" s="57"/>
      <c r="M23" s="54">
        <f>1200/2</f>
        <v>600</v>
      </c>
      <c r="N23" t="s" s="60">
        <v>9</v>
      </c>
      <c r="O23" s="58">
        <f t="shared" si="64" ref="O23:O33">(3200+800)/3</f>
        <v>1333.333333333330</v>
      </c>
      <c r="P23" t="s" s="60">
        <v>9</v>
      </c>
      <c r="Q23" s="106"/>
    </row>
    <row r="24" ht="13" customHeight="1">
      <c r="A24" t="s" s="107">
        <v>66</v>
      </c>
      <c r="B24" t="s" s="101">
        <v>67</v>
      </c>
      <c r="C24" t="s" s="101">
        <v>64</v>
      </c>
      <c r="D24" t="s" s="52">
        <v>26</v>
      </c>
      <c r="E24" t="s" s="53">
        <v>68</v>
      </c>
      <c r="F24" s="54">
        <f>203*3</f>
        <v>609</v>
      </c>
      <c r="G24" s="55">
        <f>112.88*3</f>
        <v>338.64</v>
      </c>
      <c r="H24" s="55">
        <f>182</f>
        <v>182</v>
      </c>
      <c r="I24" s="56">
        <f>98.81</f>
        <v>98.81</v>
      </c>
      <c r="J24" s="108"/>
      <c r="K24" s="105">
        <f t="shared" si="62"/>
        <v>474.5</v>
      </c>
      <c r="L24" s="57"/>
      <c r="M24" s="54">
        <f>(1200/2)+750</f>
        <v>1350</v>
      </c>
      <c r="N24" s="55"/>
      <c r="O24" s="58">
        <f t="shared" si="64"/>
        <v>1333.333333333330</v>
      </c>
      <c r="P24" s="55"/>
      <c r="Q24" s="59"/>
    </row>
    <row r="25" ht="13" customHeight="1">
      <c r="A25" t="s" s="50">
        <v>69</v>
      </c>
      <c r="B25" t="s" s="51">
        <v>70</v>
      </c>
      <c r="C25" t="s" s="51">
        <v>71</v>
      </c>
      <c r="D25" t="s" s="52">
        <v>72</v>
      </c>
      <c r="E25" t="s" s="53">
        <v>41</v>
      </c>
      <c r="F25" s="54">
        <f>193.37*3</f>
        <v>580.11</v>
      </c>
      <c r="G25" s="55">
        <f>107.51+107.47+107.51</f>
        <v>322.49</v>
      </c>
      <c r="H25" s="55"/>
      <c r="I25" s="56"/>
      <c r="J25" s="108"/>
      <c r="K25" s="109"/>
      <c r="L25" s="57"/>
      <c r="M25" s="54">
        <v>910</v>
      </c>
      <c r="N25" s="55"/>
      <c r="O25" s="58"/>
      <c r="P25" s="55"/>
      <c r="Q25" s="59"/>
    </row>
    <row r="26" ht="13" customHeight="1">
      <c r="A26" t="s" s="50">
        <v>73</v>
      </c>
      <c r="B26" t="s" s="51">
        <v>74</v>
      </c>
      <c r="C26" s="51"/>
      <c r="D26" t="s" s="52">
        <v>26</v>
      </c>
      <c r="E26" t="s" s="53">
        <v>65</v>
      </c>
      <c r="F26" s="54">
        <f t="shared" si="58"/>
        <v>390</v>
      </c>
      <c r="G26" s="55">
        <f>66.86+66.9+66.86</f>
        <v>200.62</v>
      </c>
      <c r="H26" s="55"/>
      <c r="I26" s="56"/>
      <c r="J26" s="108"/>
      <c r="K26" s="55">
        <f t="shared" si="76" ref="K26:K30">685.23/5</f>
        <v>137.046</v>
      </c>
      <c r="L26" s="57"/>
      <c r="M26" s="54">
        <v>0</v>
      </c>
      <c r="N26" s="55"/>
      <c r="O26" s="58"/>
      <c r="P26" s="55"/>
      <c r="Q26" s="59"/>
    </row>
    <row r="27" ht="13" customHeight="1">
      <c r="A27" t="s" s="50">
        <v>75</v>
      </c>
      <c r="B27" t="s" s="51">
        <v>74</v>
      </c>
      <c r="C27" t="s" s="51">
        <v>76</v>
      </c>
      <c r="D27" t="s" s="52">
        <v>77</v>
      </c>
      <c r="E27" t="s" s="53">
        <v>41</v>
      </c>
      <c r="F27" s="54">
        <f t="shared" si="77" ref="F27:F30">145*3</f>
        <v>435</v>
      </c>
      <c r="G27" s="55">
        <f>74.54*3</f>
        <v>223.62</v>
      </c>
      <c r="H27" s="55"/>
      <c r="I27" s="56"/>
      <c r="J27" s="108"/>
      <c r="K27" s="55">
        <f t="shared" si="76"/>
        <v>137.046</v>
      </c>
      <c r="L27" s="57"/>
      <c r="M27" s="54">
        <v>400</v>
      </c>
      <c r="N27" s="55"/>
      <c r="O27" s="58"/>
      <c r="P27" s="55"/>
      <c r="Q27" s="59"/>
    </row>
    <row r="28" ht="13" customHeight="1">
      <c r="A28" t="s" s="107">
        <v>78</v>
      </c>
      <c r="B28" t="s" s="101">
        <v>79</v>
      </c>
      <c r="C28" t="s" s="101">
        <v>80</v>
      </c>
      <c r="D28" t="s" s="52">
        <v>81</v>
      </c>
      <c r="E28" t="s" s="53">
        <v>41</v>
      </c>
      <c r="F28" s="54">
        <f t="shared" si="77"/>
        <v>435</v>
      </c>
      <c r="G28" s="55">
        <f t="shared" si="81" ref="G28:G30">(223.63)</f>
        <v>223.63</v>
      </c>
      <c r="H28" s="55"/>
      <c r="I28" s="56"/>
      <c r="J28" s="108"/>
      <c r="K28" s="55">
        <f t="shared" si="76"/>
        <v>137.046</v>
      </c>
      <c r="L28" s="57"/>
      <c r="M28" s="54">
        <v>521.33</v>
      </c>
      <c r="N28" s="55"/>
      <c r="O28" s="58"/>
      <c r="P28" s="55"/>
      <c r="Q28" s="59"/>
    </row>
    <row r="29" ht="13" customHeight="1">
      <c r="A29" t="s" s="107">
        <v>82</v>
      </c>
      <c r="B29" t="s" s="101">
        <v>83</v>
      </c>
      <c r="C29" t="s" s="101">
        <v>84</v>
      </c>
      <c r="D29" t="s" s="52">
        <v>85</v>
      </c>
      <c r="E29" t="s" s="53">
        <v>41</v>
      </c>
      <c r="F29" s="54">
        <f t="shared" si="77"/>
        <v>435</v>
      </c>
      <c r="G29" s="55">
        <f t="shared" si="81"/>
        <v>223.63</v>
      </c>
      <c r="H29" s="55"/>
      <c r="I29" s="56"/>
      <c r="J29" s="108"/>
      <c r="K29" s="55">
        <f t="shared" si="76"/>
        <v>137.046</v>
      </c>
      <c r="L29" s="57"/>
      <c r="M29" s="54">
        <v>0</v>
      </c>
      <c r="N29" s="55"/>
      <c r="O29" s="58"/>
      <c r="P29" s="55"/>
      <c r="Q29" s="59"/>
    </row>
    <row r="30" ht="13" customHeight="1">
      <c r="A30" t="s" s="107">
        <v>86</v>
      </c>
      <c r="B30" t="s" s="101">
        <v>87</v>
      </c>
      <c r="C30" t="s" s="101">
        <v>88</v>
      </c>
      <c r="D30" t="s" s="52">
        <v>89</v>
      </c>
      <c r="E30" t="s" s="53">
        <v>41</v>
      </c>
      <c r="F30" s="54">
        <f t="shared" si="77"/>
        <v>435</v>
      </c>
      <c r="G30" s="55">
        <f t="shared" si="81"/>
        <v>223.63</v>
      </c>
      <c r="H30" s="55"/>
      <c r="I30" s="56"/>
      <c r="J30" s="108"/>
      <c r="K30" s="55">
        <f t="shared" si="76"/>
        <v>137.046</v>
      </c>
      <c r="L30" s="57"/>
      <c r="M30" s="54">
        <v>426.54</v>
      </c>
      <c r="N30" s="55"/>
      <c r="O30" s="58"/>
      <c r="P30" s="55"/>
      <c r="Q30" s="59"/>
    </row>
    <row r="31" ht="13" customHeight="1">
      <c r="A31" t="s" s="107">
        <v>90</v>
      </c>
      <c r="B31" t="s" s="101">
        <v>91</v>
      </c>
      <c r="C31" t="s" s="101">
        <v>92</v>
      </c>
      <c r="D31" t="s" s="52">
        <v>93</v>
      </c>
      <c r="E31" t="s" s="53">
        <v>41</v>
      </c>
      <c r="F31" s="54">
        <f t="shared" si="89" ref="F31:F32">128.92*3</f>
        <v>386.76</v>
      </c>
      <c r="G31" s="55">
        <f t="shared" si="90" ref="G31:G32">(132.52*3)/2</f>
        <v>198.78</v>
      </c>
      <c r="H31" s="55">
        <f t="shared" si="91" ref="H31:H39">260.01/2</f>
        <v>130.005</v>
      </c>
      <c r="I31" s="56">
        <f t="shared" si="92" ref="I31:I32">145.25/2</f>
        <v>72.625</v>
      </c>
      <c r="J31" s="108"/>
      <c r="K31" s="105">
        <f t="shared" si="93" ref="K31:K32">(58.9/2)+(230.16/2)</f>
        <v>144.53</v>
      </c>
      <c r="L31" s="57"/>
      <c r="M31" s="54">
        <v>1200</v>
      </c>
      <c r="N31" s="55"/>
      <c r="O31" s="58"/>
      <c r="P31" s="55"/>
      <c r="Q31" s="59"/>
    </row>
    <row r="32" ht="13" customHeight="1">
      <c r="A32" t="s" s="107">
        <v>94</v>
      </c>
      <c r="B32" t="s" s="101">
        <v>95</v>
      </c>
      <c r="C32" t="s" s="101">
        <v>96</v>
      </c>
      <c r="D32" t="s" s="52">
        <v>97</v>
      </c>
      <c r="E32" t="s" s="53">
        <v>41</v>
      </c>
      <c r="F32" s="54">
        <f t="shared" si="89"/>
        <v>386.76</v>
      </c>
      <c r="G32" s="55">
        <f t="shared" si="90"/>
        <v>198.78</v>
      </c>
      <c r="H32" s="55">
        <f t="shared" si="91"/>
        <v>130.005</v>
      </c>
      <c r="I32" s="56">
        <f t="shared" si="92"/>
        <v>72.625</v>
      </c>
      <c r="J32" s="108"/>
      <c r="K32" s="105">
        <f t="shared" si="93"/>
        <v>144.53</v>
      </c>
      <c r="L32" s="57"/>
      <c r="M32" s="54">
        <v>1100</v>
      </c>
      <c r="N32" s="55"/>
      <c r="O32" s="58"/>
      <c r="P32" s="55"/>
      <c r="Q32" s="59"/>
    </row>
    <row r="33" ht="13" customHeight="1">
      <c r="A33" t="s" s="107">
        <v>98</v>
      </c>
      <c r="B33" t="s" s="101">
        <v>99</v>
      </c>
      <c r="C33" t="s" s="101">
        <v>100</v>
      </c>
      <c r="D33" t="s" s="52">
        <v>26</v>
      </c>
      <c r="E33" t="s" s="53">
        <v>68</v>
      </c>
      <c r="F33" s="54">
        <v>406</v>
      </c>
      <c r="G33" s="55">
        <v>225.76</v>
      </c>
      <c r="H33" s="55"/>
      <c r="I33" s="56"/>
      <c r="J33" s="108"/>
      <c r="K33" s="105">
        <v>313.34</v>
      </c>
      <c r="L33" s="57"/>
      <c r="M33" s="54"/>
      <c r="N33" s="55"/>
      <c r="O33" s="58">
        <f t="shared" si="64"/>
        <v>1333.333333333330</v>
      </c>
      <c r="P33" s="55"/>
      <c r="Q33" s="59"/>
    </row>
    <row r="34" ht="13" customHeight="1">
      <c r="A34" t="s" s="107">
        <v>101</v>
      </c>
      <c r="B34" t="s" s="101">
        <v>102</v>
      </c>
      <c r="C34" t="s" s="101">
        <v>103</v>
      </c>
      <c r="D34" t="s" s="52">
        <v>85</v>
      </c>
      <c r="E34" t="s" s="53">
        <v>41</v>
      </c>
      <c r="F34" s="54">
        <f t="shared" si="100" ref="F34:F35">128.92*2</f>
        <v>257.84</v>
      </c>
      <c r="G34" s="55">
        <f t="shared" si="101" ref="G34:G35">66.26*2</f>
        <v>132.52</v>
      </c>
      <c r="H34" s="55"/>
      <c r="I34" s="56"/>
      <c r="J34" s="108"/>
      <c r="K34" s="105">
        <f>(302.58/2)</f>
        <v>151.29</v>
      </c>
      <c r="L34" s="57"/>
      <c r="M34" s="54">
        <v>450</v>
      </c>
      <c r="N34" s="55"/>
      <c r="O34" s="58"/>
      <c r="P34" s="55"/>
      <c r="Q34" s="59"/>
    </row>
    <row r="35" ht="13" customHeight="1">
      <c r="A35" t="s" s="107">
        <v>104</v>
      </c>
      <c r="B35" t="s" s="101">
        <v>105</v>
      </c>
      <c r="C35" t="s" s="101">
        <v>106</v>
      </c>
      <c r="D35" t="s" s="52">
        <v>93</v>
      </c>
      <c r="E35" t="s" s="53">
        <v>41</v>
      </c>
      <c r="F35" s="54">
        <f t="shared" si="100"/>
        <v>257.84</v>
      </c>
      <c r="G35" s="55">
        <f t="shared" si="101"/>
        <v>132.52</v>
      </c>
      <c r="H35" s="55">
        <v>145</v>
      </c>
      <c r="I35" s="56">
        <f>69.66</f>
        <v>69.66</v>
      </c>
      <c r="J35" s="108"/>
      <c r="K35" s="105">
        <f>155.66+(302.58/2)</f>
        <v>306.95</v>
      </c>
      <c r="L35" s="57"/>
      <c r="M35" s="54">
        <v>1200</v>
      </c>
      <c r="N35" s="55"/>
      <c r="O35" s="58"/>
      <c r="P35" s="55"/>
      <c r="Q35" s="59"/>
    </row>
    <row r="36" ht="13" customHeight="1">
      <c r="A36" t="s" s="107">
        <v>107</v>
      </c>
      <c r="B36" t="s" s="101">
        <v>108</v>
      </c>
      <c r="C36" t="s" s="101">
        <v>109</v>
      </c>
      <c r="D36" t="s" s="52">
        <v>26</v>
      </c>
      <c r="E36" t="s" s="53">
        <v>110</v>
      </c>
      <c r="F36" s="54">
        <f>257.84*3</f>
        <v>773.52</v>
      </c>
      <c r="G36" s="55">
        <f>132.52*3</f>
        <v>397.56</v>
      </c>
      <c r="H36" s="55"/>
      <c r="I36" s="56"/>
      <c r="J36" s="108"/>
      <c r="K36" t="s" s="60">
        <v>9</v>
      </c>
      <c r="L36" s="57"/>
      <c r="M36" s="54"/>
      <c r="N36" s="55"/>
      <c r="O36" s="58"/>
      <c r="P36" s="55"/>
      <c r="Q36" s="59">
        <v>1500</v>
      </c>
    </row>
    <row r="37" ht="13" customHeight="1">
      <c r="A37" t="s" s="107">
        <v>111</v>
      </c>
      <c r="B37" t="s" s="101">
        <v>112</v>
      </c>
      <c r="C37" t="s" s="101">
        <v>113</v>
      </c>
      <c r="D37" t="s" s="52">
        <v>114</v>
      </c>
      <c r="E37" t="s" s="53">
        <v>41</v>
      </c>
      <c r="F37" s="54">
        <f>128.91*2</f>
        <v>257.82</v>
      </c>
      <c r="G37" s="55">
        <f>66.25*2</f>
        <v>132.5</v>
      </c>
      <c r="H37" s="55">
        <f t="shared" si="60"/>
        <v>130</v>
      </c>
      <c r="I37" s="56">
        <f>70.95</f>
        <v>70.95</v>
      </c>
      <c r="J37" s="108"/>
      <c r="K37" s="105">
        <v>358.53</v>
      </c>
      <c r="L37" s="57"/>
      <c r="M37" s="54">
        <v>500</v>
      </c>
      <c r="N37" s="55"/>
      <c r="O37" s="58"/>
      <c r="P37" s="55"/>
      <c r="Q37" s="59"/>
    </row>
    <row r="38" ht="13" customHeight="1">
      <c r="A38" t="s" s="107">
        <v>115</v>
      </c>
      <c r="B38" s="101"/>
      <c r="C38" s="101"/>
      <c r="D38" t="s" s="52">
        <v>9</v>
      </c>
      <c r="E38" t="s" s="53">
        <v>116</v>
      </c>
      <c r="F38" s="54"/>
      <c r="G38" s="55"/>
      <c r="H38" s="55">
        <f t="shared" si="91"/>
        <v>130.005</v>
      </c>
      <c r="I38" s="56">
        <f t="shared" si="114" ref="I38:I39">141.85/2</f>
        <v>70.925</v>
      </c>
      <c r="J38" s="108"/>
      <c r="K38" s="109"/>
      <c r="L38" s="57"/>
      <c r="M38" s="54"/>
      <c r="N38" s="55"/>
      <c r="O38" s="58"/>
      <c r="P38" s="55"/>
      <c r="Q38" s="59"/>
    </row>
    <row r="39" ht="13" customHeight="1">
      <c r="A39" t="s" s="107">
        <v>117</v>
      </c>
      <c r="B39" t="s" s="101">
        <v>118</v>
      </c>
      <c r="C39" t="s" s="101">
        <v>119</v>
      </c>
      <c r="D39" t="s" s="52">
        <v>120</v>
      </c>
      <c r="E39" t="s" s="53">
        <v>41</v>
      </c>
      <c r="F39" s="54">
        <f t="shared" si="115" ref="F39:F42">128.91*3</f>
        <v>386.73</v>
      </c>
      <c r="G39" s="55">
        <f t="shared" si="116" ref="G39:G42">66.25*3</f>
        <v>198.75</v>
      </c>
      <c r="H39" s="55">
        <f t="shared" si="91"/>
        <v>130.005</v>
      </c>
      <c r="I39" s="56">
        <f t="shared" si="114"/>
        <v>70.925</v>
      </c>
      <c r="J39" s="108"/>
      <c r="K39" s="105">
        <f>488.56</f>
        <v>488.56</v>
      </c>
      <c r="L39" s="57"/>
      <c r="M39" s="54">
        <v>1800</v>
      </c>
      <c r="N39" s="55"/>
      <c r="O39" s="58"/>
      <c r="P39" s="55"/>
      <c r="Q39" s="59"/>
    </row>
    <row r="40" ht="13" customHeight="1">
      <c r="A40" t="s" s="107">
        <v>121</v>
      </c>
      <c r="B40" t="s" s="101">
        <v>122</v>
      </c>
      <c r="C40" t="s" s="101">
        <v>123</v>
      </c>
      <c r="D40" t="s" s="52">
        <v>124</v>
      </c>
      <c r="E40" t="s" s="53">
        <v>41</v>
      </c>
      <c r="F40" s="54">
        <f t="shared" si="120" ref="F40:F41">154.7*3</f>
        <v>464.1</v>
      </c>
      <c r="G40" s="55">
        <f t="shared" si="121" ref="G40:G41">(159.03*3)/2</f>
        <v>238.545</v>
      </c>
      <c r="H40" s="55">
        <f t="shared" si="122" ref="H40:H41">308.93/2</f>
        <v>154.465</v>
      </c>
      <c r="I40" s="56">
        <f t="shared" si="123" ref="I40:I41">171.28/2</f>
        <v>85.64</v>
      </c>
      <c r="J40" s="108"/>
      <c r="K40" s="55">
        <f t="shared" si="124" ref="K40:K41">(434.26/2)+(52.13/2)</f>
        <v>243.195</v>
      </c>
      <c r="L40" s="57"/>
      <c r="M40" s="54">
        <v>2050</v>
      </c>
      <c r="N40" s="55"/>
      <c r="O40" s="58"/>
      <c r="P40" s="55"/>
      <c r="Q40" s="59"/>
    </row>
    <row r="41" ht="13" customHeight="1">
      <c r="A41" t="s" s="107">
        <v>125</v>
      </c>
      <c r="B41" t="s" s="101">
        <v>126</v>
      </c>
      <c r="C41" t="s" s="101">
        <v>127</v>
      </c>
      <c r="D41" t="s" s="52">
        <v>40</v>
      </c>
      <c r="E41" t="s" s="53">
        <v>41</v>
      </c>
      <c r="F41" s="54">
        <f t="shared" si="120"/>
        <v>464.1</v>
      </c>
      <c r="G41" s="55">
        <f t="shared" si="121"/>
        <v>238.545</v>
      </c>
      <c r="H41" s="55">
        <f t="shared" si="122"/>
        <v>154.465</v>
      </c>
      <c r="I41" s="56">
        <f t="shared" si="123"/>
        <v>85.64</v>
      </c>
      <c r="J41" s="108"/>
      <c r="K41" s="55">
        <f t="shared" si="124"/>
        <v>243.195</v>
      </c>
      <c r="L41" s="57"/>
      <c r="M41" s="54">
        <v>1500</v>
      </c>
      <c r="N41" s="55"/>
      <c r="O41" s="58"/>
      <c r="P41" s="55"/>
      <c r="Q41" s="59"/>
    </row>
    <row r="42" ht="15" customHeight="1">
      <c r="A42" t="s" s="107">
        <v>128</v>
      </c>
      <c r="B42" t="s" s="101">
        <v>129</v>
      </c>
      <c r="C42" t="s" s="101">
        <v>130</v>
      </c>
      <c r="D42" t="s" s="52">
        <v>97</v>
      </c>
      <c r="E42" t="s" s="53">
        <v>41</v>
      </c>
      <c r="F42" s="54">
        <f t="shared" si="115"/>
        <v>386.73</v>
      </c>
      <c r="G42" s="55">
        <f t="shared" si="116"/>
        <v>198.75</v>
      </c>
      <c r="H42" s="55">
        <f t="shared" si="60"/>
        <v>130</v>
      </c>
      <c r="I42" s="56">
        <f>51.51</f>
        <v>51.51</v>
      </c>
      <c r="J42" s="108"/>
      <c r="K42" s="105">
        <f>306.82</f>
        <v>306.82</v>
      </c>
      <c r="L42" s="57"/>
      <c r="M42" s="54">
        <v>2000</v>
      </c>
      <c r="N42" s="55"/>
      <c r="O42" s="58"/>
      <c r="P42" s="55"/>
      <c r="Q42" s="59"/>
    </row>
    <row r="43" ht="13" customHeight="1">
      <c r="A43" s="50"/>
      <c r="B43" s="51"/>
      <c r="C43" s="52"/>
      <c r="D43" s="110"/>
      <c r="E43" s="111"/>
      <c r="F43" s="112"/>
      <c r="G43" s="113"/>
      <c r="H43" s="113"/>
      <c r="I43" s="114"/>
      <c r="J43" s="115">
        <f>350+200+200+200+200+400+200+2000</f>
        <v>3750</v>
      </c>
      <c r="K43" s="109"/>
      <c r="L43" s="57"/>
      <c r="M43" s="54"/>
      <c r="N43" s="55"/>
      <c r="O43" s="58"/>
      <c r="P43" s="55"/>
      <c r="Q43" s="59"/>
    </row>
    <row r="44" ht="18" customHeight="1">
      <c r="A44" s="116"/>
      <c r="B44" s="117"/>
      <c r="C44" s="118"/>
      <c r="D44" s="119"/>
      <c r="E44" t="s" s="120">
        <v>131</v>
      </c>
      <c r="F44" s="121">
        <f>SUM(F23:F42)</f>
        <v>8137.31</v>
      </c>
      <c r="G44" s="122">
        <f>SUM(G23:G42)</f>
        <v>4249.85</v>
      </c>
      <c r="H44" s="122">
        <f>SUM(H23:H42)</f>
        <v>1545.95</v>
      </c>
      <c r="I44" s="123">
        <f>SUM(I23:I42)</f>
        <v>821.96</v>
      </c>
      <c r="J44" s="124">
        <f>SUM(J23:J43)</f>
        <v>3750</v>
      </c>
      <c r="K44" s="122">
        <f>SUM(K23:K43)</f>
        <v>4335.17</v>
      </c>
      <c r="L44" s="125">
        <f>SUM(L23:L43)</f>
        <v>0</v>
      </c>
      <c r="M44" s="121">
        <f>SUM(M23:M43)</f>
        <v>16007.87</v>
      </c>
      <c r="N44" s="126">
        <f>SUM(N23:N43)</f>
        <v>0</v>
      </c>
      <c r="O44" s="122">
        <f>SUM(O23:O43)</f>
        <v>3999.999999999990</v>
      </c>
      <c r="P44" s="126">
        <f>SUM(P23:P43)</f>
        <v>0</v>
      </c>
      <c r="Q44" s="127">
        <f>SUM(Q23:Q43)</f>
        <v>1500</v>
      </c>
    </row>
    <row r="45" ht="13" customHeight="1">
      <c r="A45" s="82"/>
      <c r="B45" s="83"/>
      <c r="C45" s="84"/>
      <c r="D45" s="84"/>
      <c r="E45" s="85"/>
      <c r="F45" s="86"/>
      <c r="G45" s="91"/>
      <c r="H45" s="91"/>
      <c r="I45" s="128"/>
      <c r="J45" s="102"/>
      <c r="K45" s="103"/>
      <c r="L45" s="63"/>
      <c r="M45" s="102"/>
      <c r="N45" s="103"/>
      <c r="O45" s="84"/>
      <c r="P45" s="103"/>
      <c r="Q45" s="129"/>
    </row>
    <row r="46" ht="24.75" customHeight="1">
      <c r="A46" s="130">
        <v>2022</v>
      </c>
      <c r="B46" s="67"/>
      <c r="C46" s="67"/>
      <c r="D46" s="67"/>
      <c r="E46" s="68"/>
      <c r="F46" s="94"/>
      <c r="G46" s="95"/>
      <c r="H46" s="95"/>
      <c r="I46" s="96"/>
      <c r="J46" s="131"/>
      <c r="K46" s="132"/>
      <c r="L46" s="97"/>
      <c r="M46" s="94"/>
      <c r="N46" s="95"/>
      <c r="O46" s="98"/>
      <c r="P46" s="132"/>
      <c r="Q46" s="99"/>
    </row>
    <row r="47" ht="13" customHeight="1">
      <c r="A47" s="100">
        <v>44631</v>
      </c>
      <c r="B47" t="s" s="101">
        <v>132</v>
      </c>
      <c r="C47" t="s" s="101">
        <v>133</v>
      </c>
      <c r="D47" t="s" s="52">
        <v>134</v>
      </c>
      <c r="E47" t="s" s="53">
        <v>41</v>
      </c>
      <c r="F47" s="115">
        <f>129.13*3</f>
        <v>387.39</v>
      </c>
      <c r="G47" s="105">
        <f>66.48*3</f>
        <v>199.44</v>
      </c>
      <c r="H47" s="105">
        <f t="shared" si="150" ref="H47:H52">130.22</f>
        <v>130.22</v>
      </c>
      <c r="I47" s="133">
        <f>51.1</f>
        <v>51.1</v>
      </c>
      <c r="J47" s="108"/>
      <c r="K47" s="55">
        <f>109.07</f>
        <v>109.07</v>
      </c>
      <c r="L47" s="57"/>
      <c r="M47" s="134">
        <v>2000</v>
      </c>
      <c r="N47" s="55"/>
      <c r="O47" s="58"/>
      <c r="P47" s="55"/>
      <c r="Q47" s="59"/>
    </row>
    <row r="48" ht="13" customHeight="1">
      <c r="A48" t="s" s="107">
        <v>135</v>
      </c>
      <c r="B48" t="s" s="101">
        <v>136</v>
      </c>
      <c r="C48" t="s" s="101">
        <v>137</v>
      </c>
      <c r="D48" t="s" s="52">
        <v>26</v>
      </c>
      <c r="E48" t="s" s="53">
        <v>138</v>
      </c>
      <c r="F48" s="54">
        <f>235*3</f>
        <v>705</v>
      </c>
      <c r="G48" s="105">
        <f>130.89*3</f>
        <v>392.67</v>
      </c>
      <c r="H48" s="109"/>
      <c r="I48" s="135"/>
      <c r="J48" s="108"/>
      <c r="K48" s="109"/>
      <c r="L48" s="136">
        <v>1100</v>
      </c>
      <c r="M48" s="137">
        <v>0</v>
      </c>
      <c r="N48" s="55"/>
      <c r="O48" s="58"/>
      <c r="P48" s="55">
        <v>2500.24</v>
      </c>
      <c r="Q48" s="59"/>
    </row>
    <row r="49" ht="13" customHeight="1">
      <c r="A49" t="s" s="107">
        <v>139</v>
      </c>
      <c r="B49" t="s" s="101">
        <v>140</v>
      </c>
      <c r="C49" t="s" s="101">
        <v>141</v>
      </c>
      <c r="D49" t="s" s="52">
        <v>142</v>
      </c>
      <c r="E49" t="s" s="53">
        <v>41</v>
      </c>
      <c r="F49" s="54">
        <f>(129.28*2)+129.34</f>
        <v>387.9</v>
      </c>
      <c r="G49" s="105">
        <f>(66.87*2)+67.18</f>
        <v>200.92</v>
      </c>
      <c r="H49" s="105">
        <v>130.51</v>
      </c>
      <c r="I49" s="133">
        <f>74.03</f>
        <v>74.03</v>
      </c>
      <c r="J49" s="108"/>
      <c r="K49" s="105">
        <v>551.0700000000001</v>
      </c>
      <c r="L49" s="57"/>
      <c r="M49" s="137">
        <f>1635.07</f>
        <v>1635.07</v>
      </c>
      <c r="N49" s="55"/>
      <c r="O49" t="s" s="52">
        <v>9</v>
      </c>
      <c r="P49" s="55"/>
      <c r="Q49" s="59"/>
    </row>
    <row r="50" ht="13" customHeight="1">
      <c r="A50" t="s" s="107">
        <v>143</v>
      </c>
      <c r="B50" t="s" s="101">
        <v>144</v>
      </c>
      <c r="C50" s="101"/>
      <c r="D50" t="s" s="52">
        <v>26</v>
      </c>
      <c r="E50" t="s" s="53">
        <v>65</v>
      </c>
      <c r="F50" s="115">
        <f t="shared" si="159" ref="F50:F52">129.28*3</f>
        <v>387.84</v>
      </c>
      <c r="G50" s="105">
        <f t="shared" si="160" ref="G50:G52">66.87*3</f>
        <v>200.61</v>
      </c>
      <c r="H50" s="109"/>
      <c r="I50" s="135"/>
      <c r="J50" s="108"/>
      <c r="K50" s="109"/>
      <c r="L50" s="57"/>
      <c r="M50" s="137">
        <v>0</v>
      </c>
      <c r="N50" s="55"/>
      <c r="O50" s="58"/>
      <c r="P50" s="55"/>
      <c r="Q50" s="59"/>
    </row>
    <row r="51" ht="13" customHeight="1">
      <c r="A51" t="s" s="107">
        <v>145</v>
      </c>
      <c r="B51" t="s" s="101">
        <v>144</v>
      </c>
      <c r="C51" t="s" s="101">
        <v>146</v>
      </c>
      <c r="D51" t="s" s="52">
        <v>72</v>
      </c>
      <c r="E51" t="s" s="53">
        <v>41</v>
      </c>
      <c r="F51" s="115">
        <f t="shared" si="159"/>
        <v>387.84</v>
      </c>
      <c r="G51" s="105">
        <f t="shared" si="160"/>
        <v>200.61</v>
      </c>
      <c r="H51" s="109"/>
      <c r="I51" s="135"/>
      <c r="J51" s="108"/>
      <c r="K51" s="109"/>
      <c r="L51" s="57"/>
      <c r="M51" s="137">
        <f>947.87</f>
        <v>947.87</v>
      </c>
      <c r="N51" s="55"/>
      <c r="O51" s="58"/>
      <c r="P51" s="55"/>
      <c r="Q51" s="59"/>
    </row>
    <row r="52" ht="13" customHeight="1">
      <c r="A52" t="s" s="107">
        <v>147</v>
      </c>
      <c r="B52" t="s" s="101">
        <v>87</v>
      </c>
      <c r="C52" t="s" s="101">
        <v>88</v>
      </c>
      <c r="D52" t="s" s="52">
        <v>89</v>
      </c>
      <c r="E52" t="s" s="53">
        <v>41</v>
      </c>
      <c r="F52" s="115">
        <f t="shared" si="159"/>
        <v>387.84</v>
      </c>
      <c r="G52" s="105">
        <f t="shared" si="160"/>
        <v>200.61</v>
      </c>
      <c r="H52" s="105">
        <f t="shared" si="150"/>
        <v>130.22</v>
      </c>
      <c r="I52" s="133">
        <f>73.55</f>
        <v>73.55</v>
      </c>
      <c r="J52" s="108"/>
      <c r="K52" s="109"/>
      <c r="L52" s="57"/>
      <c r="M52" s="137">
        <v>426.54</v>
      </c>
      <c r="N52" s="55"/>
      <c r="O52" s="58"/>
      <c r="P52" s="55"/>
      <c r="Q52" s="59"/>
    </row>
    <row r="53" ht="13" customHeight="1">
      <c r="A53" t="s" s="107">
        <v>148</v>
      </c>
      <c r="B53" s="101"/>
      <c r="C53" s="101"/>
      <c r="D53" t="s" s="52">
        <v>26</v>
      </c>
      <c r="E53" t="s" s="52">
        <v>149</v>
      </c>
      <c r="F53" s="55">
        <f>259.33/2</f>
        <v>129.665</v>
      </c>
      <c r="G53" s="105">
        <f>135.77/2</f>
        <v>67.88500000000001</v>
      </c>
      <c r="H53" s="109"/>
      <c r="I53" s="135"/>
      <c r="J53" s="108"/>
      <c r="K53" s="109"/>
      <c r="L53" s="57"/>
      <c r="M53" s="137">
        <v>0</v>
      </c>
      <c r="N53" s="55"/>
      <c r="O53" s="58"/>
      <c r="P53" s="55"/>
      <c r="Q53" s="59"/>
    </row>
    <row r="54" ht="13" customHeight="1">
      <c r="A54" t="s" s="107">
        <v>150</v>
      </c>
      <c r="B54" t="s" s="101">
        <v>151</v>
      </c>
      <c r="C54" t="s" s="101">
        <v>152</v>
      </c>
      <c r="D54" t="s" s="52">
        <v>72</v>
      </c>
      <c r="E54" t="s" s="53">
        <v>41</v>
      </c>
      <c r="F54" s="54">
        <f>129.67+(259.33/2)</f>
        <v>259.335</v>
      </c>
      <c r="G54" s="55">
        <f>(135.77/2)+67.88</f>
        <v>135.765</v>
      </c>
      <c r="H54" s="109"/>
      <c r="I54" s="135"/>
      <c r="J54" s="108"/>
      <c r="K54" s="109"/>
      <c r="L54" s="57"/>
      <c r="M54" s="137">
        <v>500</v>
      </c>
      <c r="N54" s="55"/>
      <c r="O54" s="58"/>
      <c r="P54" s="55"/>
      <c r="Q54" s="59"/>
    </row>
    <row r="55" ht="13" customHeight="1">
      <c r="A55" s="138"/>
      <c r="B55" s="139"/>
      <c r="C55" s="140"/>
      <c r="D55" s="110"/>
      <c r="E55" s="111"/>
      <c r="F55" s="112"/>
      <c r="G55" s="113"/>
      <c r="H55" s="113"/>
      <c r="I55" s="114"/>
      <c r="J55" s="115">
        <f>1000+500</f>
        <v>1500</v>
      </c>
      <c r="K55" s="141"/>
      <c r="L55" s="142"/>
      <c r="M55" s="137">
        <v>0</v>
      </c>
      <c r="N55" s="55">
        <v>3000</v>
      </c>
      <c r="O55" s="143"/>
      <c r="P55" s="144"/>
      <c r="Q55" s="145"/>
    </row>
    <row r="56" ht="18" customHeight="1">
      <c r="A56" s="146"/>
      <c r="B56" s="147"/>
      <c r="C56" s="148"/>
      <c r="D56" s="119"/>
      <c r="E56" t="s" s="120">
        <v>153</v>
      </c>
      <c r="F56" s="121">
        <f>SUM(F47:F54)</f>
        <v>3032.81</v>
      </c>
      <c r="G56" s="122">
        <f>SUM(G47:G54)</f>
        <v>1598.51</v>
      </c>
      <c r="H56" s="122">
        <f>SUM(H47:H54)</f>
        <v>390.95</v>
      </c>
      <c r="I56" s="123">
        <f>SUM(I47:I54)</f>
        <v>198.68</v>
      </c>
      <c r="J56" s="124">
        <f>SUM(J47:J55)</f>
        <v>1500</v>
      </c>
      <c r="K56" s="126">
        <f>SUM(K47:K55)</f>
        <v>660.14</v>
      </c>
      <c r="L56" s="123">
        <f>SUM(L47:L55)</f>
        <v>1100</v>
      </c>
      <c r="M56" s="121">
        <f>SUM(M47:M55)</f>
        <v>5509.48</v>
      </c>
      <c r="N56" s="122">
        <f>SUM(N47:N55)</f>
        <v>3000</v>
      </c>
      <c r="O56" s="122">
        <f>SUM(O47:O55)</f>
        <v>0</v>
      </c>
      <c r="P56" s="122">
        <f>SUM(P47:P55)</f>
        <v>2500.24</v>
      </c>
      <c r="Q56" s="127">
        <f>SUM(Q47:Q55)</f>
        <v>0</v>
      </c>
    </row>
    <row r="57" ht="13" customHeight="1">
      <c r="A57" s="82"/>
      <c r="B57" s="83"/>
      <c r="C57" s="84"/>
      <c r="D57" s="84"/>
      <c r="E57" s="85"/>
      <c r="F57" s="86"/>
      <c r="G57" s="91"/>
      <c r="H57" s="91"/>
      <c r="I57" s="128"/>
      <c r="J57" s="102"/>
      <c r="K57" s="103"/>
      <c r="L57" t="s" s="85">
        <v>9</v>
      </c>
      <c r="M57" s="149"/>
      <c r="N57" s="91"/>
      <c r="O57" s="84"/>
      <c r="P57" s="103"/>
      <c r="Q57" s="129"/>
    </row>
    <row r="58" ht="16" customHeight="1">
      <c r="A58" s="150"/>
      <c r="B58" s="151"/>
      <c r="C58" t="s" s="83">
        <v>9</v>
      </c>
      <c r="D58" s="152"/>
      <c r="E58" s="153"/>
      <c r="F58" s="90"/>
      <c r="G58" s="87"/>
      <c r="H58" s="87"/>
      <c r="I58" s="89"/>
      <c r="J58" s="90"/>
      <c r="K58" s="103"/>
      <c r="L58" s="89"/>
      <c r="M58" t="s" s="149">
        <v>9</v>
      </c>
      <c r="N58" s="87"/>
      <c r="O58" s="87"/>
      <c r="P58" s="103"/>
      <c r="Q58" s="129"/>
    </row>
    <row r="59" ht="16" customHeight="1">
      <c r="A59" s="154"/>
      <c r="B59" s="155"/>
      <c r="C59" s="155"/>
      <c r="D59" s="156"/>
      <c r="E59" s="157"/>
      <c r="F59" s="158"/>
      <c r="G59" s="159"/>
      <c r="H59" s="159"/>
      <c r="I59" s="160"/>
      <c r="J59" s="158"/>
      <c r="K59" s="159"/>
      <c r="L59" s="160"/>
      <c r="M59" s="158"/>
      <c r="N59" s="159"/>
      <c r="O59" s="159"/>
      <c r="P59" s="161"/>
      <c r="Q59" s="162"/>
    </row>
    <row r="60" ht="25.6" customHeight="1">
      <c r="A60" t="s" s="163">
        <v>154</v>
      </c>
      <c r="B60" s="67"/>
      <c r="C60" s="67"/>
      <c r="D60" s="67"/>
      <c r="E60" s="68"/>
      <c r="F60" s="164">
        <f>F17+F44+F56</f>
        <v>18060.01</v>
      </c>
      <c r="G60" s="165">
        <f>G17+G44+G56</f>
        <v>9372.73</v>
      </c>
      <c r="H60" s="165">
        <f>H17+H44+H56</f>
        <v>5077.71</v>
      </c>
      <c r="I60" s="166">
        <f>I17+I44+I56</f>
        <v>2688.19</v>
      </c>
      <c r="J60" s="164">
        <f>J17+J44+J56</f>
        <v>5650</v>
      </c>
      <c r="K60" s="165">
        <f>K17+K44+K56</f>
        <v>5591.48125</v>
      </c>
      <c r="L60" s="166">
        <f>L56</f>
        <v>1100</v>
      </c>
      <c r="M60" s="164">
        <f>M17+M44+M56</f>
        <v>28848.33</v>
      </c>
      <c r="N60" s="165">
        <f>N17+N44+N56</f>
        <v>6000</v>
      </c>
      <c r="O60" s="165">
        <f>O17+O44+O56</f>
        <v>3999.999999999990</v>
      </c>
      <c r="P60" s="165">
        <f>P17+P44+P56</f>
        <v>2500.24</v>
      </c>
      <c r="Q60" s="167">
        <f>Q17+Q44+Q56</f>
        <v>6500</v>
      </c>
    </row>
    <row r="61" ht="16" customHeight="1">
      <c r="A61" s="168"/>
      <c r="B61" s="169"/>
      <c r="C61" s="169"/>
      <c r="D61" s="170"/>
      <c r="E61" s="171"/>
      <c r="F61" s="172">
        <f>F60+G60+H60+I60</f>
        <v>35198.64</v>
      </c>
      <c r="G61" s="173"/>
      <c r="H61" s="173"/>
      <c r="I61" s="174"/>
      <c r="J61" s="172">
        <f>J60+K60+L60</f>
        <v>12341.48125</v>
      </c>
      <c r="K61" s="173"/>
      <c r="L61" s="174"/>
      <c r="M61" s="172">
        <f>M60+N60+O60+P60+Q60</f>
        <v>47848.57</v>
      </c>
      <c r="N61" s="173"/>
      <c r="O61" s="173"/>
      <c r="P61" s="174"/>
      <c r="Q61" s="175"/>
    </row>
    <row r="62" ht="13" customHeight="1">
      <c r="A62" t="s" s="176">
        <v>9</v>
      </c>
      <c r="B62" s="177"/>
      <c r="C62" s="177"/>
      <c r="D62" s="178"/>
      <c r="E62" s="179"/>
      <c r="F62" s="180"/>
      <c r="G62" s="181"/>
      <c r="H62" s="181"/>
      <c r="I62" s="182"/>
      <c r="J62" s="180"/>
      <c r="K62" s="181"/>
      <c r="L62" s="182"/>
      <c r="M62" s="183"/>
      <c r="N62" s="67"/>
      <c r="O62" s="67"/>
      <c r="P62" s="68"/>
      <c r="Q62" s="175"/>
    </row>
    <row r="63" ht="13" customHeight="1">
      <c r="A63" s="184"/>
      <c r="B63" s="184"/>
      <c r="C63" s="184"/>
      <c r="D63" s="184"/>
      <c r="E63" s="185"/>
      <c r="F63" s="186">
        <f>F61+J61</f>
        <v>47540.12125</v>
      </c>
      <c r="G63" s="187"/>
      <c r="H63" s="187"/>
      <c r="I63" s="187"/>
      <c r="J63" s="187"/>
      <c r="K63" s="187"/>
      <c r="L63" s="188"/>
      <c r="M63" s="189"/>
      <c r="N63" s="190"/>
      <c r="O63" s="190"/>
      <c r="P63" s="191"/>
      <c r="Q63" s="175"/>
    </row>
    <row r="64" ht="13" customHeight="1">
      <c r="A64" s="184"/>
      <c r="B64" s="184"/>
      <c r="C64" s="184"/>
      <c r="D64" s="184"/>
      <c r="E64" s="185"/>
      <c r="F64" s="192"/>
      <c r="G64" s="193"/>
      <c r="H64" s="193"/>
      <c r="I64" s="193"/>
      <c r="J64" s="193"/>
      <c r="K64" s="193"/>
      <c r="L64" s="194"/>
      <c r="M64" s="192"/>
      <c r="N64" s="193"/>
      <c r="O64" s="193"/>
      <c r="P64" s="194"/>
      <c r="Q64" s="175"/>
    </row>
    <row r="65" ht="13" customHeight="1">
      <c r="A65" s="195"/>
      <c r="B65" s="195"/>
      <c r="C65" s="195"/>
      <c r="D65" s="195"/>
      <c r="E65" s="195"/>
      <c r="F65" s="196"/>
      <c r="G65" s="196"/>
      <c r="H65" s="196"/>
      <c r="I65" s="196"/>
      <c r="J65" s="196"/>
      <c r="K65" s="196"/>
      <c r="L65" s="196"/>
      <c r="M65" s="197"/>
      <c r="N65" s="198"/>
      <c r="O65" s="196"/>
      <c r="P65" s="196"/>
      <c r="Q65" s="196"/>
    </row>
    <row r="66" ht="13" customHeight="1">
      <c r="A66" s="10"/>
      <c r="B66" s="10"/>
      <c r="C66" t="s" s="199">
        <v>9</v>
      </c>
      <c r="D66" s="10"/>
      <c r="E66" s="10"/>
      <c r="F66" s="200"/>
      <c r="G66" s="200"/>
      <c r="H66" s="200"/>
      <c r="I66" s="200"/>
      <c r="J66" s="200"/>
      <c r="K66" t="s" s="199">
        <v>9</v>
      </c>
      <c r="L66" s="200"/>
      <c r="M66" s="200"/>
      <c r="N66" s="200"/>
      <c r="O66" s="200"/>
      <c r="P66" s="200"/>
      <c r="Q66" s="200"/>
    </row>
    <row r="67" ht="20.8" customHeight="1">
      <c r="A67" s="10"/>
      <c r="B67" s="10"/>
      <c r="C67" s="10"/>
      <c r="D67" s="10"/>
      <c r="E67" s="10"/>
      <c r="F67" s="200"/>
      <c r="G67" s="200"/>
      <c r="H67" s="200"/>
      <c r="I67" s="200"/>
      <c r="J67" s="200"/>
      <c r="K67" s="200"/>
      <c r="L67" s="200"/>
      <c r="M67" s="200"/>
      <c r="N67" s="200"/>
      <c r="O67" s="200"/>
      <c r="P67" s="200"/>
      <c r="Q67" s="200"/>
    </row>
    <row r="68" ht="25.5" customHeight="1">
      <c r="A68" s="10"/>
      <c r="B68" s="10"/>
      <c r="C68" s="10"/>
      <c r="D68" s="10"/>
      <c r="E68" s="10"/>
      <c r="F68" s="200"/>
      <c r="G68" s="200"/>
      <c r="H68" t="s" s="199">
        <v>9</v>
      </c>
      <c r="I68" s="201">
        <v>2020</v>
      </c>
      <c r="J68" s="201">
        <f>F17+G17+H17+I17+J17+K17</f>
        <v>16218.79125</v>
      </c>
      <c r="K68" s="201">
        <f>J68*30%</f>
        <v>4865.637375</v>
      </c>
      <c r="L68" s="200"/>
      <c r="M68" s="200"/>
      <c r="N68" s="200"/>
      <c r="O68" s="200"/>
      <c r="P68" s="200"/>
      <c r="Q68" s="200"/>
    </row>
    <row r="69" ht="20" customHeight="1">
      <c r="A69" s="10"/>
      <c r="B69" s="10"/>
      <c r="C69" s="10"/>
      <c r="D69" s="10"/>
      <c r="E69" s="10"/>
      <c r="F69" s="200"/>
      <c r="G69" s="200"/>
      <c r="H69" s="200"/>
      <c r="I69" s="201">
        <v>2021</v>
      </c>
      <c r="J69" s="201">
        <f>F44+G44+H44+I44+J44+K44</f>
        <v>22840.24</v>
      </c>
      <c r="K69" s="201">
        <f>J69*30%</f>
        <v>6852.072</v>
      </c>
      <c r="L69" s="200"/>
      <c r="M69" s="200"/>
      <c r="N69" s="200"/>
      <c r="O69" s="200"/>
      <c r="P69" s="200"/>
      <c r="Q69" s="200"/>
    </row>
    <row r="70" ht="25.5" customHeight="1">
      <c r="A70" s="10"/>
      <c r="B70" s="10"/>
      <c r="C70" s="10"/>
      <c r="D70" s="10"/>
      <c r="E70" s="10"/>
      <c r="F70" s="200"/>
      <c r="G70" s="200"/>
      <c r="H70" s="200"/>
      <c r="I70" s="201">
        <v>2022</v>
      </c>
      <c r="J70" s="201">
        <f>F56+G56+H56+I56+J56+K56+L56</f>
        <v>8481.09</v>
      </c>
      <c r="K70" s="201">
        <f>J70*30%</f>
        <v>2544.327</v>
      </c>
      <c r="L70" s="200"/>
      <c r="M70" s="200"/>
      <c r="N70" s="200"/>
      <c r="O70" s="200"/>
      <c r="P70" s="200"/>
      <c r="Q70" s="200"/>
    </row>
    <row r="71" ht="13" customHeight="1">
      <c r="A71" s="10"/>
      <c r="B71" s="10"/>
      <c r="C71" s="10"/>
      <c r="D71" s="10"/>
      <c r="E71" s="10"/>
      <c r="F71" s="200"/>
      <c r="G71" s="200"/>
      <c r="H71" s="200"/>
      <c r="I71" s="201"/>
      <c r="J71" s="201"/>
      <c r="K71" s="201"/>
      <c r="L71" s="200"/>
      <c r="M71" s="200"/>
      <c r="N71" s="200"/>
      <c r="O71" s="200"/>
      <c r="P71" s="200"/>
      <c r="Q71" s="200"/>
    </row>
    <row r="72" ht="13" customHeight="1">
      <c r="A72" s="10"/>
      <c r="B72" s="10"/>
      <c r="C72" s="10"/>
      <c r="D72" s="10"/>
      <c r="E72" s="10"/>
      <c r="F72" s="200"/>
      <c r="G72" s="200"/>
      <c r="H72" t="s" s="199">
        <v>9</v>
      </c>
      <c r="I72" s="200"/>
      <c r="J72" s="200"/>
      <c r="K72" s="200"/>
      <c r="L72" s="200"/>
      <c r="M72" s="200"/>
      <c r="N72" s="200"/>
      <c r="O72" s="200"/>
      <c r="P72" s="200"/>
      <c r="Q72" s="200"/>
    </row>
    <row r="73" ht="20" customHeight="1">
      <c r="A73" s="10"/>
      <c r="B73" s="10"/>
      <c r="C73" s="10"/>
      <c r="D73" s="10"/>
      <c r="E73" s="10"/>
      <c r="F73" s="200"/>
      <c r="G73" t="s" s="199">
        <v>9</v>
      </c>
      <c r="H73" s="200"/>
      <c r="I73" s="200"/>
      <c r="J73" s="200"/>
      <c r="K73" s="202">
        <f>K68+K69+K70</f>
        <v>14262.036375</v>
      </c>
      <c r="L73" s="200"/>
      <c r="M73" s="200"/>
      <c r="N73" s="200"/>
      <c r="O73" s="200"/>
      <c r="P73" s="200"/>
      <c r="Q73" s="200"/>
    </row>
    <row r="74" ht="13" customHeight="1">
      <c r="A74" s="10"/>
      <c r="B74" s="10"/>
      <c r="C74" s="10"/>
      <c r="D74" s="10"/>
      <c r="E74" s="1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</row>
    <row r="75" ht="13" customHeight="1">
      <c r="A75" s="10"/>
      <c r="B75" s="10"/>
      <c r="C75" s="10"/>
      <c r="D75" s="10"/>
      <c r="E75" s="1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</row>
    <row r="76" ht="13" customHeight="1">
      <c r="A76" s="10"/>
      <c r="B76" s="10"/>
      <c r="C76" s="10"/>
      <c r="D76" s="10"/>
      <c r="E76" s="10"/>
      <c r="F76" s="200"/>
      <c r="G76" s="200"/>
      <c r="H76" s="200"/>
      <c r="I76" s="200"/>
      <c r="J76" s="200"/>
      <c r="K76" s="200"/>
      <c r="L76" s="200"/>
      <c r="M76" s="200"/>
      <c r="N76" s="200"/>
      <c r="O76" s="200"/>
      <c r="P76" s="200"/>
      <c r="Q76" s="200"/>
    </row>
    <row r="77" ht="13" customHeight="1">
      <c r="A77" s="10"/>
      <c r="B77" s="10"/>
      <c r="C77" s="10"/>
      <c r="D77" s="10"/>
      <c r="E77" s="10"/>
      <c r="F77" s="200"/>
      <c r="G77" s="200"/>
      <c r="H77" s="200"/>
      <c r="I77" s="200"/>
      <c r="J77" s="200"/>
      <c r="K77" s="200"/>
      <c r="L77" s="200"/>
      <c r="M77" s="200"/>
      <c r="N77" s="200"/>
      <c r="O77" s="200"/>
      <c r="P77" s="200"/>
      <c r="Q77" s="200"/>
    </row>
    <row r="78" ht="13" customHeight="1">
      <c r="A78" s="10"/>
      <c r="B78" s="10"/>
      <c r="C78" s="10"/>
      <c r="D78" s="10"/>
      <c r="E78" s="10"/>
      <c r="F78" s="200"/>
      <c r="G78" s="200"/>
      <c r="H78" s="200"/>
      <c r="I78" s="200"/>
      <c r="J78" s="200"/>
      <c r="K78" s="200"/>
      <c r="L78" s="200"/>
      <c r="M78" s="200"/>
      <c r="N78" s="200"/>
      <c r="O78" s="200"/>
      <c r="P78" s="200"/>
      <c r="Q78" s="200"/>
    </row>
    <row r="79" ht="13" customHeight="1">
      <c r="A79" s="10"/>
      <c r="B79" s="10"/>
      <c r="C79" s="10"/>
      <c r="D79" s="10"/>
      <c r="E79" s="10"/>
      <c r="F79" s="200"/>
      <c r="G79" s="200"/>
      <c r="H79" s="200"/>
      <c r="I79" s="200"/>
      <c r="J79" s="200"/>
      <c r="K79" s="200"/>
      <c r="L79" s="200"/>
      <c r="M79" s="200"/>
      <c r="N79" s="200"/>
      <c r="O79" s="200"/>
      <c r="P79" s="200"/>
      <c r="Q79" s="200"/>
    </row>
    <row r="80" ht="13" customHeight="1">
      <c r="A80" s="10"/>
      <c r="B80" s="10"/>
      <c r="C80" s="10"/>
      <c r="D80" s="10"/>
      <c r="E80" s="10"/>
      <c r="F80" s="200"/>
      <c r="G80" s="200"/>
      <c r="H80" s="200"/>
      <c r="I80" s="200"/>
      <c r="J80" s="200"/>
      <c r="K80" s="200"/>
      <c r="L80" s="200"/>
      <c r="M80" s="200"/>
      <c r="N80" s="200"/>
      <c r="O80" s="200"/>
      <c r="P80" s="200"/>
      <c r="Q80" s="200"/>
    </row>
    <row r="81" ht="13" customHeight="1">
      <c r="A81" s="10"/>
      <c r="B81" s="10"/>
      <c r="C81" s="10"/>
      <c r="D81" s="10"/>
      <c r="E81" s="10"/>
      <c r="F81" s="200"/>
      <c r="G81" s="200"/>
      <c r="H81" s="200"/>
      <c r="I81" s="200"/>
      <c r="J81" s="200"/>
      <c r="K81" s="200"/>
      <c r="L81" s="200"/>
      <c r="M81" s="200"/>
      <c r="N81" s="200"/>
      <c r="O81" s="200"/>
      <c r="P81" s="200"/>
      <c r="Q81" s="200"/>
    </row>
    <row r="82" ht="13" customHeight="1">
      <c r="A82" s="10"/>
      <c r="B82" s="10"/>
      <c r="C82" s="10"/>
      <c r="D82" s="10"/>
      <c r="E82" s="10"/>
      <c r="F82" s="200"/>
      <c r="G82" s="200"/>
      <c r="H82" s="200"/>
      <c r="I82" s="200"/>
      <c r="J82" s="200"/>
      <c r="K82" s="200"/>
      <c r="L82" s="200"/>
      <c r="M82" s="200"/>
      <c r="N82" s="200"/>
      <c r="O82" s="200"/>
      <c r="P82" s="200"/>
      <c r="Q82" s="200"/>
    </row>
    <row r="83" ht="13" customHeight="1">
      <c r="A83" s="10"/>
      <c r="B83" s="10"/>
      <c r="C83" s="10"/>
      <c r="D83" s="10"/>
      <c r="E83" s="10"/>
      <c r="F83" s="200"/>
      <c r="G83" s="200"/>
      <c r="H83" s="200"/>
      <c r="I83" s="200"/>
      <c r="J83" s="200"/>
      <c r="K83" s="200"/>
      <c r="L83" s="200"/>
      <c r="M83" s="200"/>
      <c r="N83" s="200"/>
      <c r="O83" s="200"/>
      <c r="P83" s="200"/>
      <c r="Q83" s="200"/>
    </row>
    <row r="84" ht="13" customHeight="1">
      <c r="A84" s="10"/>
      <c r="B84" s="10"/>
      <c r="C84" s="10"/>
      <c r="D84" s="10"/>
      <c r="E84" s="10"/>
      <c r="F84" s="200"/>
      <c r="G84" s="200"/>
      <c r="H84" s="200"/>
      <c r="I84" s="200"/>
      <c r="J84" s="200"/>
      <c r="K84" s="200"/>
      <c r="L84" s="200"/>
      <c r="M84" s="200"/>
      <c r="N84" s="200"/>
      <c r="O84" s="200"/>
      <c r="P84" s="200"/>
      <c r="Q84" s="200"/>
    </row>
    <row r="85" ht="13" customHeight="1">
      <c r="A85" s="10"/>
      <c r="B85" s="10"/>
      <c r="C85" s="10"/>
      <c r="D85" s="10"/>
      <c r="E85" s="10"/>
      <c r="F85" s="200"/>
      <c r="G85" s="200"/>
      <c r="H85" s="200"/>
      <c r="I85" s="200"/>
      <c r="J85" s="200"/>
      <c r="K85" s="200"/>
      <c r="L85" s="200"/>
      <c r="M85" s="200"/>
      <c r="N85" s="200"/>
      <c r="O85" s="200"/>
      <c r="P85" s="200"/>
      <c r="Q85" s="200"/>
    </row>
    <row r="86" ht="13" customHeight="1">
      <c r="A86" s="10"/>
      <c r="B86" s="10"/>
      <c r="C86" s="10"/>
      <c r="D86" s="10"/>
      <c r="E86" s="10"/>
      <c r="F86" s="200"/>
      <c r="G86" s="200"/>
      <c r="H86" s="200"/>
      <c r="I86" s="200"/>
      <c r="J86" s="200"/>
      <c r="K86" s="200"/>
      <c r="L86" s="200"/>
      <c r="M86" s="200"/>
      <c r="N86" s="200"/>
      <c r="O86" s="200"/>
      <c r="P86" s="200"/>
      <c r="Q86" s="200"/>
    </row>
    <row r="87" ht="13" customHeight="1">
      <c r="A87" s="10"/>
      <c r="B87" s="10"/>
      <c r="C87" s="10"/>
      <c r="D87" s="10"/>
      <c r="E87" s="10"/>
      <c r="F87" s="200"/>
      <c r="G87" s="200"/>
      <c r="H87" s="200"/>
      <c r="I87" s="200"/>
      <c r="J87" s="200"/>
      <c r="K87" s="200"/>
      <c r="L87" s="200"/>
      <c r="M87" s="200"/>
      <c r="N87" s="200"/>
      <c r="O87" s="200"/>
      <c r="P87" s="200"/>
      <c r="Q87" s="200"/>
    </row>
    <row r="88" ht="13" customHeight="1">
      <c r="A88" s="10"/>
      <c r="B88" s="10"/>
      <c r="C88" s="10"/>
      <c r="D88" s="10"/>
      <c r="E88" s="10"/>
      <c r="F88" s="200"/>
      <c r="G88" s="200"/>
      <c r="H88" s="200"/>
      <c r="I88" s="200"/>
      <c r="J88" s="200"/>
      <c r="K88" s="200"/>
      <c r="L88" s="200"/>
      <c r="M88" s="200"/>
      <c r="N88" s="200"/>
      <c r="O88" s="200"/>
      <c r="P88" s="200"/>
      <c r="Q88" s="200"/>
    </row>
    <row r="89" ht="13" customHeight="1">
      <c r="A89" s="10"/>
      <c r="B89" s="10"/>
      <c r="C89" s="10"/>
      <c r="D89" s="10"/>
      <c r="E89" s="10"/>
      <c r="F89" s="200"/>
      <c r="G89" s="200"/>
      <c r="H89" s="200"/>
      <c r="I89" s="200"/>
      <c r="J89" s="200"/>
      <c r="K89" s="200"/>
      <c r="L89" s="200"/>
      <c r="M89" s="200"/>
      <c r="N89" s="200"/>
      <c r="O89" s="200"/>
      <c r="P89" s="200"/>
      <c r="Q89" s="200"/>
    </row>
    <row r="90" ht="13" customHeight="1">
      <c r="A90" s="10"/>
      <c r="B90" s="10"/>
      <c r="C90" s="10"/>
      <c r="D90" s="10"/>
      <c r="E90" s="10"/>
      <c r="F90" s="200"/>
      <c r="G90" s="200"/>
      <c r="H90" s="200"/>
      <c r="I90" s="200"/>
      <c r="J90" s="200"/>
      <c r="K90" s="200"/>
      <c r="L90" s="200"/>
      <c r="M90" s="200"/>
      <c r="N90" s="200"/>
      <c r="O90" s="200"/>
      <c r="P90" s="200"/>
      <c r="Q90" s="200"/>
    </row>
    <row r="91" ht="13" customHeight="1">
      <c r="A91" s="10"/>
      <c r="B91" s="10"/>
      <c r="C91" s="10"/>
      <c r="D91" s="10"/>
      <c r="E91" s="10"/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</row>
    <row r="92" ht="13" customHeight="1">
      <c r="A92" s="10"/>
      <c r="B92" s="10"/>
      <c r="C92" s="10"/>
      <c r="D92" s="10"/>
      <c r="E92" s="10"/>
      <c r="F92" s="200"/>
      <c r="G92" s="200"/>
      <c r="H92" s="200"/>
      <c r="I92" s="200"/>
      <c r="J92" s="200"/>
      <c r="K92" s="200"/>
      <c r="L92" s="200"/>
      <c r="M92" s="200"/>
      <c r="N92" s="200"/>
      <c r="O92" s="200"/>
      <c r="P92" s="200"/>
      <c r="Q92" s="200"/>
    </row>
    <row r="93" ht="13" customHeight="1">
      <c r="A93" s="10"/>
      <c r="B93" s="10"/>
      <c r="C93" s="10"/>
      <c r="D93" s="10"/>
      <c r="E93" s="10"/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P93" s="200"/>
      <c r="Q93" s="200"/>
    </row>
    <row r="94" ht="13" customHeight="1">
      <c r="A94" s="10"/>
      <c r="B94" s="10"/>
      <c r="C94" s="10"/>
      <c r="D94" s="10"/>
      <c r="E94" s="10"/>
      <c r="F94" s="200"/>
      <c r="G94" s="200"/>
      <c r="H94" s="200"/>
      <c r="I94" s="200"/>
      <c r="J94" s="200"/>
      <c r="K94" s="200"/>
      <c r="L94" s="200"/>
      <c r="M94" s="200"/>
      <c r="N94" s="200"/>
      <c r="O94" s="200"/>
      <c r="P94" s="200"/>
      <c r="Q94" s="200"/>
    </row>
    <row r="95" ht="13" customHeight="1">
      <c r="A95" s="10"/>
      <c r="B95" s="10"/>
      <c r="C95" s="10"/>
      <c r="D95" s="10"/>
      <c r="E95" s="1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200"/>
      <c r="Q95" s="200"/>
    </row>
    <row r="96" ht="13" customHeight="1">
      <c r="A96" s="10"/>
      <c r="B96" s="10"/>
      <c r="C96" s="10"/>
      <c r="D96" s="10"/>
      <c r="E96" s="10"/>
      <c r="F96" s="200"/>
      <c r="G96" s="200"/>
      <c r="H96" s="200"/>
      <c r="I96" s="200"/>
      <c r="J96" s="200"/>
      <c r="K96" s="200"/>
      <c r="L96" s="200"/>
      <c r="M96" s="200"/>
      <c r="N96" s="200"/>
      <c r="O96" s="200"/>
      <c r="P96" s="200"/>
      <c r="Q96" s="200"/>
    </row>
    <row r="97" ht="13" customHeight="1">
      <c r="A97" s="10"/>
      <c r="B97" s="10"/>
      <c r="C97" s="10"/>
      <c r="D97" s="10"/>
      <c r="E97" s="1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0"/>
    </row>
    <row r="98" ht="13" customHeight="1">
      <c r="A98" s="10"/>
      <c r="B98" s="10"/>
      <c r="C98" s="10"/>
      <c r="D98" s="10"/>
      <c r="E98" s="10"/>
      <c r="F98" s="200"/>
      <c r="G98" s="200"/>
      <c r="H98" s="200"/>
      <c r="I98" s="200"/>
      <c r="J98" s="200"/>
      <c r="K98" s="200"/>
      <c r="L98" s="200"/>
      <c r="M98" s="200"/>
      <c r="N98" s="200"/>
      <c r="O98" s="200"/>
      <c r="P98" s="200"/>
      <c r="Q98" s="200"/>
    </row>
  </sheetData>
  <mergeCells count="17">
    <mergeCell ref="F3:G3"/>
    <mergeCell ref="H3:I3"/>
    <mergeCell ref="F2:I2"/>
    <mergeCell ref="A17:E17"/>
    <mergeCell ref="A5:E5"/>
    <mergeCell ref="A19:E19"/>
    <mergeCell ref="A46:E46"/>
    <mergeCell ref="A16:E16"/>
    <mergeCell ref="A60:E60"/>
    <mergeCell ref="J2:L2"/>
    <mergeCell ref="F1:L1"/>
    <mergeCell ref="F61:I62"/>
    <mergeCell ref="J61:L62"/>
    <mergeCell ref="F63:L64"/>
    <mergeCell ref="M61:Q64"/>
    <mergeCell ref="M1:Q1"/>
    <mergeCell ref="M2:Q3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 Neue,Regular"&amp;12&amp;K000000	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